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9720" windowHeight="5790" activeTab="0"/>
  </bookViews>
  <sheets>
    <sheet name="Balance" sheetId="1" r:id="rId1"/>
    <sheet name="P y G" sheetId="2" r:id="rId2"/>
    <sheet name="PyG Productos" sheetId="3" r:id="rId3"/>
    <sheet name="PyG Interconexión" sheetId="4" r:id="rId4"/>
    <sheet name="Flujo de Caja" sheetId="5" r:id="rId5"/>
    <sheet name="Costo de Capital" sheetId="6" r:id="rId6"/>
    <sheet name="Depreciaciones Iniciales" sheetId="7" r:id="rId7"/>
    <sheet name="Reposiciones Activos" sheetId="8" r:id="rId8"/>
    <sheet name="Amortizaciones Iniciales" sheetId="9" r:id="rId9"/>
    <sheet name="Reposiciones Software" sheetId="10" r:id="rId10"/>
    <sheet name="Impuestos" sheetId="11" r:id="rId11"/>
  </sheets>
  <externalReferences>
    <externalReference r:id="rId14"/>
    <externalReference r:id="rId15"/>
  </externalReferences>
  <definedNames>
    <definedName name="_xlnm.Print_Area">'Impuestos'!$B$1:$K$20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<sst xmlns="http://schemas.openxmlformats.org/spreadsheetml/2006/main" count="440" uniqueCount="259">
  <si>
    <t>NUEVAS INVERSIONES</t>
  </si>
  <si>
    <t>CONCEPTO</t>
  </si>
  <si>
    <t xml:space="preserve">   TOTAL INVERSION EN EQUIPOS</t>
  </si>
  <si>
    <t>INVERSION ACUMULADA TOTAL</t>
  </si>
  <si>
    <t xml:space="preserve">   2.  Períodos de depreciación</t>
  </si>
  <si>
    <t>PORCENTAJE</t>
  </si>
  <si>
    <t>AÑO</t>
  </si>
  <si>
    <t>TOTAL</t>
  </si>
  <si>
    <t xml:space="preserve">   1. ACTIVOS FIJOS</t>
  </si>
  <si>
    <t xml:space="preserve">    1.1. Activos Tipo I</t>
  </si>
  <si>
    <t xml:space="preserve">    1.2.  Activos Tipo II</t>
  </si>
  <si>
    <t xml:space="preserve">    1.3.  Activos Tipo III</t>
  </si>
  <si>
    <t xml:space="preserve">    2.1. Activos Tipo I</t>
  </si>
  <si>
    <t xml:space="preserve">    2.2.  Activos Tipo II</t>
  </si>
  <si>
    <t xml:space="preserve">    2.3.  Activos Tipo III</t>
  </si>
  <si>
    <t>AÑOS</t>
  </si>
  <si>
    <t xml:space="preserve">  Depreciaciones Activos Tipo I</t>
  </si>
  <si>
    <t xml:space="preserve">  Depreciación Activos Tipo II</t>
  </si>
  <si>
    <t xml:space="preserve">  Depreciación Activos Tipo III</t>
  </si>
  <si>
    <t>BALANCE GENERAL - ACTIVOS</t>
  </si>
  <si>
    <t>ACTIVOS / AÑO</t>
  </si>
  <si>
    <t xml:space="preserve">      1.1.  Caja y bancos</t>
  </si>
  <si>
    <t xml:space="preserve">      1.2.  Cuentas por cobrar</t>
  </si>
  <si>
    <t xml:space="preserve">      1.3.  (-) Provisiones cuentas por cobrar</t>
  </si>
  <si>
    <t xml:space="preserve">              3.1.2. Depreciación</t>
  </si>
  <si>
    <t xml:space="preserve">              3.2.2.  (-) Depreciación</t>
  </si>
  <si>
    <t xml:space="preserve">              3.3.2.  (-) Depreciación</t>
  </si>
  <si>
    <t>TOTAL ACTIVOS</t>
  </si>
  <si>
    <t>PASIVOS / AÑO</t>
  </si>
  <si>
    <t xml:space="preserve">        1.1.  Proveedores</t>
  </si>
  <si>
    <t xml:space="preserve">        1.2.  Obligaciones bancarias</t>
  </si>
  <si>
    <t>TOTAL PASIVOS</t>
  </si>
  <si>
    <t xml:space="preserve">        3.1.  Capital pagado</t>
  </si>
  <si>
    <t xml:space="preserve">        3.2.  Reserva legal</t>
  </si>
  <si>
    <t xml:space="preserve">        3.3.  Utilidades del ejercicio</t>
  </si>
  <si>
    <t xml:space="preserve">        3.4.  Utilidades de ejercicios anteriores</t>
  </si>
  <si>
    <t>TOTAL PASIVO Y PATRIMONIO</t>
  </si>
  <si>
    <t>Variación en el capital de trabajo</t>
  </si>
  <si>
    <t>Total Activo</t>
  </si>
  <si>
    <t>Total Pasivo y Patrimonio</t>
  </si>
  <si>
    <t>Equilibrio Contable</t>
  </si>
  <si>
    <t xml:space="preserve">       (+)  Otros pasivos a largo plazo</t>
  </si>
  <si>
    <t xml:space="preserve">        Saldo Inicial de Caja</t>
  </si>
  <si>
    <t xml:space="preserve">       (+) Ingresos financieros </t>
  </si>
  <si>
    <t xml:space="preserve">       (-)  Egresos financieros </t>
  </si>
  <si>
    <t xml:space="preserve">       (+)  Otros Ingresos y Egresos netos </t>
  </si>
  <si>
    <t xml:space="preserve">       (+) Capitalización</t>
  </si>
  <si>
    <t>ESTADO DE RESULTADOS / AÑO</t>
  </si>
  <si>
    <t>1.  RESULTADO OPERACIONAL</t>
  </si>
  <si>
    <t>4.  GASTOS ADMINISTRATIVOS</t>
  </si>
  <si>
    <t xml:space="preserve">  5.  MARGEN OPERACIONAL NETO</t>
  </si>
  <si>
    <t>UTILIDADES ANTES DE IMPUESTOS</t>
  </si>
  <si>
    <t>UTILIDADES DEL EJERCICIO</t>
  </si>
  <si>
    <t xml:space="preserve">                    .   Activos Tipo III</t>
  </si>
  <si>
    <t xml:space="preserve">       (-)  Inversiones en Activos</t>
  </si>
  <si>
    <t xml:space="preserve">       (+) Flujo de Caja del período</t>
  </si>
  <si>
    <t xml:space="preserve">   TOTAL COMPRAS ACTIVOS DIFERIDOS</t>
  </si>
  <si>
    <t xml:space="preserve">   2.  Períodos de Amortización de Software</t>
  </si>
  <si>
    <t xml:space="preserve">  Amortizaciones</t>
  </si>
  <si>
    <t>3.   MARGEN OPERACIONAL BRUTO</t>
  </si>
  <si>
    <t>VARIABLE</t>
  </si>
  <si>
    <t>VALOR</t>
  </si>
  <si>
    <t>DEFINICION</t>
  </si>
  <si>
    <t>D/E</t>
  </si>
  <si>
    <t xml:space="preserve">        2.2.   Obligaciones bancarias</t>
  </si>
  <si>
    <t>FLUJO DE CAJA PROYECTADO</t>
  </si>
  <si>
    <t xml:space="preserve"> (Millones de Pesos)</t>
  </si>
  <si>
    <t>BALANCE GENERAL - PASIVOS</t>
  </si>
  <si>
    <t xml:space="preserve">  3.  MARGEN OPERACIONAL NETO</t>
  </si>
  <si>
    <t>MES/AÑO</t>
  </si>
  <si>
    <t>CALCULO DEL IMPUESTO DE RENTA</t>
  </si>
  <si>
    <t>CONCEPTOS / AÑO</t>
  </si>
  <si>
    <t>Renta Presuntiva</t>
  </si>
  <si>
    <t>Corrección monetaria Activos no monetarios</t>
  </si>
  <si>
    <t>Corrección monetaria Pasivos no monetarios</t>
  </si>
  <si>
    <t>Utilidad del ejercicio</t>
  </si>
  <si>
    <t>Utilidad Fiscal Bruta</t>
  </si>
  <si>
    <t>Pérdida diferida</t>
  </si>
  <si>
    <t>Pérdida por diferir</t>
  </si>
  <si>
    <t>Utilidad Fiscal Neta</t>
  </si>
  <si>
    <t>Impuestos sobre utilidad fiscal</t>
  </si>
  <si>
    <t>Impuestos Renta presuntiva</t>
  </si>
  <si>
    <t>Impuesto de renta año gravable</t>
  </si>
  <si>
    <t>DEPRECIACIONES DE ACTIVOS INICIALES</t>
  </si>
  <si>
    <t xml:space="preserve">   2.  Depreciación Acumulada</t>
  </si>
  <si>
    <t xml:space="preserve">   1. ACTIVOS DIFERIDOS</t>
  </si>
  <si>
    <t xml:space="preserve">   2.  Amortización Acumulada</t>
  </si>
  <si>
    <t>Amortizaciones anuales de activos diferidos</t>
  </si>
  <si>
    <t>1.1. Valor sin amortización</t>
  </si>
  <si>
    <t>4.2. Amortización</t>
  </si>
  <si>
    <t xml:space="preserve">   4.  FLUJO DE CAJA SIN FINANCIACION</t>
  </si>
  <si>
    <t>VALOR PRESENTE NETO</t>
  </si>
  <si>
    <t>TASA INTERNA DE RETORNO</t>
  </si>
  <si>
    <t>VALOR TERMINAL</t>
  </si>
  <si>
    <t>VALOR DE SALVAMENTO</t>
  </si>
  <si>
    <t>Si desea evaluar solo el Flujo de Caja marque 1</t>
  </si>
  <si>
    <t>Si desea evaluar Flujo de Caja con Valor Terminal marque 2</t>
  </si>
  <si>
    <t>Si desea evaluar Flujo de Caja con Valor de Salvamento marque 3</t>
  </si>
  <si>
    <t>FLUJO DE CAJA A EVALUAR</t>
  </si>
  <si>
    <t xml:space="preserve">              3.1.1. Costo de adquisición</t>
  </si>
  <si>
    <t xml:space="preserve">              3.2.1.  Costo de adquisición</t>
  </si>
  <si>
    <t xml:space="preserve">              3.3.1.  Costo de adquisición</t>
  </si>
  <si>
    <t>vida util pendiente inicial</t>
  </si>
  <si>
    <t>REPOSICIONES NUEVAS INVERSIONES</t>
  </si>
  <si>
    <t>TOTAL INVERSIONES</t>
  </si>
  <si>
    <t>%</t>
  </si>
  <si>
    <t>REPOSICIONES DIFERIDOS INICIALES</t>
  </si>
  <si>
    <t>NUEVOS ACTIVOS DIFERIDOS</t>
  </si>
  <si>
    <t>REPOSICIONES NUEVOS DIFERIDOS</t>
  </si>
  <si>
    <t>TOTAL INVERSIONES SOFTWARE</t>
  </si>
  <si>
    <t xml:space="preserve">      4.1. Costo de adquisición</t>
  </si>
  <si>
    <t xml:space="preserve">      4.2.  (-) Amortización</t>
  </si>
  <si>
    <t>3.  Activos Fijos</t>
  </si>
  <si>
    <t>1.  Activo Corriente</t>
  </si>
  <si>
    <t>2.  Inversiones Temporales</t>
  </si>
  <si>
    <t>3.3. Activos Tipo III</t>
  </si>
  <si>
    <t>1.  Pasivos Corrientes</t>
  </si>
  <si>
    <t>2.  Pasivos a Largo Plazo</t>
  </si>
  <si>
    <t>3.  Patrimonio</t>
  </si>
  <si>
    <t>4.  Software</t>
  </si>
  <si>
    <t>ESTADO DE RESULTADOS</t>
  </si>
  <si>
    <t>1.1.  INGRESOS OPERACIONALES</t>
  </si>
  <si>
    <t>2.   COSTOS OPERACIONALES</t>
  </si>
  <si>
    <t>FLUJO DE CAJA / AÑO</t>
  </si>
  <si>
    <t>1. INGRESOS OPERACIONALES</t>
  </si>
  <si>
    <t>2. EGRESOS OPERACIONALES</t>
  </si>
  <si>
    <t xml:space="preserve">       (-)  Variación del Capital de Trabajo</t>
  </si>
  <si>
    <t xml:space="preserve">       (-)  Adquisición de Software</t>
  </si>
  <si>
    <t xml:space="preserve">   5.  SALDO FINAL DE CAJA</t>
  </si>
  <si>
    <t>CALCULO DEL WACC</t>
  </si>
  <si>
    <t>TASA DE RETORNO ANTES DE IMPUESTOS</t>
  </si>
  <si>
    <t>TR</t>
  </si>
  <si>
    <t>DEVALUACION EN COLOMBIA</t>
  </si>
  <si>
    <t>D COL</t>
  </si>
  <si>
    <t>INDICE DE INFLACION EN USA</t>
  </si>
  <si>
    <t>ipc USA</t>
  </si>
  <si>
    <t>Fuente: ver archivo beta_total_actual</t>
  </si>
  <si>
    <t>RIESGO SECTOR: BETA DESAPALANCADO</t>
  </si>
  <si>
    <t xml:space="preserve">           d</t>
  </si>
  <si>
    <t>RIESGO PAIS</t>
  </si>
  <si>
    <t>RP</t>
  </si>
  <si>
    <t>Fuente: ver archivo Market_Premium</t>
  </si>
  <si>
    <t>RIESGO MERCADO</t>
  </si>
  <si>
    <t>Rm</t>
  </si>
  <si>
    <t>RIESGO SECTOR: BETA APALANCADO</t>
  </si>
  <si>
    <t>RDTO. DE LOS BONOS DEL TESORO USA</t>
  </si>
  <si>
    <t>TASA LIBRE DE RIESGO</t>
  </si>
  <si>
    <t>Rf</t>
  </si>
  <si>
    <t>INDICE DE INFLACION EN COLOMBIA</t>
  </si>
  <si>
    <t>ipc Col</t>
  </si>
  <si>
    <t>TASA DE IMPUESTOS</t>
  </si>
  <si>
    <t>t</t>
  </si>
  <si>
    <t>PESOS CONSTANTES</t>
  </si>
  <si>
    <t>PESOS CORRIENTES</t>
  </si>
  <si>
    <t>TASA PREFERENCIAL DEL MERCADO</t>
  </si>
  <si>
    <t>TASA DE INTERES DE LA DEUDA FINANCIERA</t>
  </si>
  <si>
    <t>i</t>
  </si>
  <si>
    <t>% DEUDA</t>
  </si>
  <si>
    <t>% PATRIMONIO</t>
  </si>
  <si>
    <t>RELACION DEUDA PATRIMONIO</t>
  </si>
  <si>
    <t>VALOR DEL PATRIMONIO</t>
  </si>
  <si>
    <t>E</t>
  </si>
  <si>
    <t>VALOR DEUDA FINANCIERA</t>
  </si>
  <si>
    <t>D</t>
  </si>
  <si>
    <t>DOLARES CORRIENTES</t>
  </si>
  <si>
    <t>COSTO DEL PATRIMONIO</t>
  </si>
  <si>
    <t>Ke</t>
  </si>
  <si>
    <t>PESOS CONSTANTES DESPUES DE IMPUESTOS</t>
  </si>
  <si>
    <t>COSTO DE LA DEUDA FINANCIERA</t>
  </si>
  <si>
    <t>Kd</t>
  </si>
  <si>
    <t>COSTO DE CAPITAL</t>
  </si>
  <si>
    <t>WACC</t>
  </si>
  <si>
    <t>FORMULA</t>
  </si>
  <si>
    <t>6.  OTROS INGRESOS Y OTROS EGRESOS</t>
  </si>
  <si>
    <t>6.1.  Ingresos y egresos financieros</t>
  </si>
  <si>
    <t>6.1.1.  Ingresos financieros</t>
  </si>
  <si>
    <t>6.1.2.  Egresos Financieros</t>
  </si>
  <si>
    <t>7. Impuesto de renta</t>
  </si>
  <si>
    <t xml:space="preserve">        .     Período de Amortización</t>
  </si>
  <si>
    <t xml:space="preserve">   3.  Períodos de depreciación</t>
  </si>
  <si>
    <t xml:space="preserve">  4. Depreciaciones </t>
  </si>
  <si>
    <t>REPOSICIÓN DE ACTIVOS INICIALES</t>
  </si>
  <si>
    <t>AMORTIZACIONES DE ACTIVOS INICIALES</t>
  </si>
  <si>
    <t xml:space="preserve">   3.  Períodos de amortización</t>
  </si>
  <si>
    <t>Utilidad Fiscal Neta antes de Descuentos</t>
  </si>
  <si>
    <t>Descuentos por compra de Activos Fijos</t>
  </si>
  <si>
    <t>1.1.2 Mensajería Individual</t>
  </si>
  <si>
    <t>2.1 Proceso de admisión</t>
  </si>
  <si>
    <t xml:space="preserve">Costos de personal </t>
  </si>
  <si>
    <t>Costos generales</t>
  </si>
  <si>
    <t>2.2 Proceso de clasificación</t>
  </si>
  <si>
    <t>2.3 Proceso de alistamiento</t>
  </si>
  <si>
    <t>2.4 Proceso de transporte</t>
  </si>
  <si>
    <t>Costos de transporte</t>
  </si>
  <si>
    <t>2.5 Proceso de entrega</t>
  </si>
  <si>
    <t>Costos de entrega</t>
  </si>
  <si>
    <t>4.1.  Overhead Gastos de Personal</t>
  </si>
  <si>
    <t xml:space="preserve">                    .   Activos Tipo I Muebles y Enseres</t>
  </si>
  <si>
    <t xml:space="preserve">                    .   Activos Tipo II Equipos</t>
  </si>
  <si>
    <t>3.1.  Activos Tipo I Muebles y Enseres</t>
  </si>
  <si>
    <t>3.2.  Activos Tipo II Equipos</t>
  </si>
  <si>
    <t>OPERADOR:</t>
  </si>
  <si>
    <t>COMISION DE REGULACION DE COMUNICACIONES</t>
  </si>
  <si>
    <t>Estado de Resultados por Productos - Millones de $ -</t>
  </si>
  <si>
    <t>MASIVOS</t>
  </si>
  <si>
    <t xml:space="preserve">Número de Envíos </t>
  </si>
  <si>
    <t>Número de Kgrs.</t>
  </si>
  <si>
    <t>2.6.   Depreciación</t>
  </si>
  <si>
    <t>2.7.  Amortización de Activos Diferidos</t>
  </si>
  <si>
    <t>2.8  Provisiones sobre cuentas por cobrar</t>
  </si>
  <si>
    <t>2.7  Amortización de Activos Diferidos</t>
  </si>
  <si>
    <t>2.6 Depreciación</t>
  </si>
  <si>
    <t>2.  COSTOS Y GASTOS OPERACIONALES</t>
  </si>
  <si>
    <t>2.9  Overhead</t>
  </si>
  <si>
    <t xml:space="preserve">  4.  MARGEN ANTES DE IMPUESTOS</t>
  </si>
  <si>
    <t>5. Impuestos</t>
  </si>
  <si>
    <t>MASIVOS COSTOS UNITARIOS POR PROCESO</t>
  </si>
  <si>
    <t xml:space="preserve">  TOTAL COSTO UNITARIO</t>
  </si>
  <si>
    <t>COSTOS DIRECTOS</t>
  </si>
  <si>
    <t>COSTOS INDIRECTOS</t>
  </si>
  <si>
    <t>TOTAL COSTOS DIRECTOS</t>
  </si>
  <si>
    <t>TOTAL COSTOS INDIRECTOS</t>
  </si>
  <si>
    <t>1.1 Proceso de admisión</t>
  </si>
  <si>
    <t>1.2 Proceso de clasificación</t>
  </si>
  <si>
    <t>1.3 Proceso de alistamiento</t>
  </si>
  <si>
    <t>1.4 Proceso de transporte</t>
  </si>
  <si>
    <t>1.5 Proceso de entrega</t>
  </si>
  <si>
    <t>1.6 Depreciación</t>
  </si>
  <si>
    <t>1.7  Amortización de Activos Diferidos</t>
  </si>
  <si>
    <t>1.8  Provisiones sobre cuentas por cobrar</t>
  </si>
  <si>
    <t>1.9  Overhead</t>
  </si>
  <si>
    <t>1.10  Impuestos</t>
  </si>
  <si>
    <t>Número Total de Envíos del Operador</t>
  </si>
  <si>
    <t>Número Total de Kgrs del Operador</t>
  </si>
  <si>
    <t>RESUMEN ENVIOS Y KILOGRAMOS POR OPERADOR</t>
  </si>
  <si>
    <t xml:space="preserve">  MARGEN OPERACIONAL NETO %</t>
  </si>
  <si>
    <t>ANALISIS VERTICAL DE LOS RESULTADOS</t>
  </si>
  <si>
    <t>IMPACTO DE COSTOS Y GASTOS DE PERSONAL</t>
  </si>
  <si>
    <t>Costos de entrega - personal -</t>
  </si>
  <si>
    <t>VARIACION EN EL CAPITAL DE TRABAJO</t>
  </si>
  <si>
    <t>VARIACION CAPITAL DE TRABAJO</t>
  </si>
  <si>
    <t>2.9.  Provisiones sobre cuentas por cobrar</t>
  </si>
  <si>
    <t>2.8.  Contribución</t>
  </si>
  <si>
    <t>2.6.  Overhead Gastos de Personal</t>
  </si>
  <si>
    <t>2.8.   Impuesto de renta</t>
  </si>
  <si>
    <t>2.7.  Contribución</t>
  </si>
  <si>
    <t>2.10  Contribución</t>
  </si>
  <si>
    <t>1.9  Contribución</t>
  </si>
  <si>
    <t>3.1 Otros ingresos y egresos netos</t>
  </si>
  <si>
    <t xml:space="preserve">  6.  MARGEN NETO</t>
  </si>
  <si>
    <t>MENSAJERÍA NO MASIVA</t>
  </si>
  <si>
    <t>MENSAJERÍA NO MASIVA COSTOS UNITARIOS POR PROCESO</t>
  </si>
  <si>
    <t>4.1.  Overhead</t>
  </si>
  <si>
    <t>Activo corriente bruto</t>
  </si>
  <si>
    <t>Capital de trabajo</t>
  </si>
  <si>
    <t>Ebit</t>
  </si>
  <si>
    <t>Ebitda</t>
  </si>
  <si>
    <t>1.1.1  Mensajería Masivos</t>
  </si>
  <si>
    <t>1.1.1 Mensajería masivos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</si>
</sst>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#,##0.0"/>
    <numFmt numFmtId="174" formatCode="_-* #,##0\ _P_t_s_-;\-* #,##0\ _P_t_s_-;_-* &quot;-&quot;\ _P_t_s_-;_-@_-"/>
    <numFmt numFmtId="175" formatCode="_-* #,##0\ _P_t_s_-;\-* #,##0\ _P_t_s_-;_-* &quot;-&quot;??\ _P_t_s_-;_-@_-"/>
    <numFmt numFmtId="176" formatCode="#,##0_ ;\-#,##0\ "/>
    <numFmt numFmtId="177" formatCode="0.0000"/>
    <numFmt numFmtId="178" formatCode="#,##0.0000"/>
    <numFmt numFmtId="179" formatCode="0.0"/>
    <numFmt numFmtId="180" formatCode="#,##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20"/>
      <name val="Calibri"/>
      <family val="2"/>
    </font>
    <font>
      <sz val="12"/>
      <name val="Geneva"/>
      <family val="0"/>
    </font>
    <font>
      <sz val="12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2"/>
      <color indexed="9"/>
      <name val="Calibri"/>
      <family val="2"/>
    </font>
    <font>
      <b/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2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43" fontId="4" fillId="24" borderId="0" xfId="46" applyFont="1" applyFill="1" applyAlignment="1">
      <alignment/>
    </xf>
    <xf numFmtId="3" fontId="5" fillId="0" borderId="10" xfId="47" applyNumberFormat="1" applyFont="1" applyBorder="1" applyAlignment="1">
      <alignment/>
    </xf>
    <xf numFmtId="3" fontId="5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/>
    </xf>
    <xf numFmtId="174" fontId="5" fillId="24" borderId="0" xfId="0" applyNumberFormat="1" applyFont="1" applyFill="1" applyBorder="1" applyAlignment="1">
      <alignment horizontal="center"/>
    </xf>
    <xf numFmtId="174" fontId="5" fillId="24" borderId="0" xfId="0" applyNumberFormat="1" applyFont="1" applyFill="1" applyAlignment="1">
      <alignment horizontal="center"/>
    </xf>
    <xf numFmtId="176" fontId="5" fillId="24" borderId="0" xfId="47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3" fontId="5" fillId="24" borderId="0" xfId="0" applyNumberFormat="1" applyFont="1" applyFill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175" fontId="5" fillId="24" borderId="0" xfId="46" applyNumberFormat="1" applyFont="1" applyFill="1" applyAlignment="1">
      <alignment/>
    </xf>
    <xf numFmtId="174" fontId="5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47" applyNumberFormat="1" applyFont="1" applyBorder="1" applyAlignment="1">
      <alignment/>
    </xf>
    <xf numFmtId="0" fontId="5" fillId="0" borderId="10" xfId="0" applyFont="1" applyBorder="1" applyAlignment="1">
      <alignment horizontal="left" indent="3"/>
    </xf>
    <xf numFmtId="3" fontId="5" fillId="0" borderId="10" xfId="46" applyNumberFormat="1" applyFont="1" applyBorder="1" applyAlignment="1">
      <alignment/>
    </xf>
    <xf numFmtId="0" fontId="4" fillId="0" borderId="10" xfId="0" applyFont="1" applyBorder="1" applyAlignment="1">
      <alignment horizontal="left" indent="3"/>
    </xf>
    <xf numFmtId="3" fontId="4" fillId="0" borderId="10" xfId="46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right"/>
    </xf>
    <xf numFmtId="0" fontId="5" fillId="24" borderId="10" xfId="0" applyFont="1" applyFill="1" applyBorder="1" applyAlignment="1">
      <alignment horizontal="left"/>
    </xf>
    <xf numFmtId="3" fontId="5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 horizontal="left"/>
    </xf>
    <xf numFmtId="3" fontId="5" fillId="0" borderId="10" xfId="46" applyNumberFormat="1" applyFont="1" applyFill="1" applyBorder="1" applyAlignment="1">
      <alignment horizontal="right"/>
    </xf>
    <xf numFmtId="3" fontId="5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 horizontal="left" indent="2"/>
    </xf>
    <xf numFmtId="0" fontId="9" fillId="24" borderId="0" xfId="55" applyFont="1" applyFill="1">
      <alignment/>
      <protection/>
    </xf>
    <xf numFmtId="0" fontId="9" fillId="24" borderId="0" xfId="55" applyFont="1" applyFill="1" applyBorder="1">
      <alignment/>
      <protection/>
    </xf>
    <xf numFmtId="0" fontId="1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10" fontId="28" fillId="24" borderId="10" xfId="58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10" fontId="28" fillId="24" borderId="10" xfId="58" applyNumberFormat="1" applyFont="1" applyFill="1" applyBorder="1" applyAlignment="1">
      <alignment horizontal="center"/>
    </xf>
    <xf numFmtId="177" fontId="28" fillId="24" borderId="10" xfId="58" applyNumberFormat="1" applyFont="1" applyFill="1" applyBorder="1" applyAlignment="1">
      <alignment horizontal="center"/>
    </xf>
    <xf numFmtId="3" fontId="28" fillId="0" borderId="10" xfId="58" applyNumberFormat="1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1" fontId="7" fillId="25" borderId="10" xfId="0" applyNumberFormat="1" applyFont="1" applyFill="1" applyBorder="1" applyAlignment="1">
      <alignment horizontal="center"/>
    </xf>
    <xf numFmtId="3" fontId="4" fillId="2" borderId="10" xfId="47" applyNumberFormat="1" applyFont="1" applyFill="1" applyBorder="1" applyAlignment="1">
      <alignment/>
    </xf>
    <xf numFmtId="0" fontId="7" fillId="18" borderId="10" xfId="0" applyFont="1" applyFill="1" applyBorder="1" applyAlignment="1">
      <alignment horizontal="left" indent="1"/>
    </xf>
    <xf numFmtId="3" fontId="7" fillId="18" borderId="10" xfId="47" applyNumberFormat="1" applyFont="1" applyFill="1" applyBorder="1" applyAlignment="1">
      <alignment/>
    </xf>
    <xf numFmtId="0" fontId="4" fillId="2" borderId="10" xfId="0" applyFont="1" applyFill="1" applyBorder="1" applyAlignment="1">
      <alignment horizontal="left" indent="1"/>
    </xf>
    <xf numFmtId="0" fontId="4" fillId="4" borderId="10" xfId="0" applyFont="1" applyFill="1" applyBorder="1" applyAlignment="1">
      <alignment horizontal="left" indent="2"/>
    </xf>
    <xf numFmtId="3" fontId="4" fillId="4" borderId="1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3" fontId="7" fillId="25" borderId="10" xfId="47" applyNumberFormat="1" applyFont="1" applyFill="1" applyBorder="1" applyAlignment="1">
      <alignment horizontal="right"/>
    </xf>
    <xf numFmtId="3" fontId="7" fillId="25" borderId="10" xfId="47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3" fontId="7" fillId="25" borderId="10" xfId="0" applyNumberFormat="1" applyFont="1" applyFill="1" applyBorder="1" applyAlignment="1">
      <alignment horizontal="center"/>
    </xf>
    <xf numFmtId="3" fontId="7" fillId="18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indent="1"/>
    </xf>
    <xf numFmtId="0" fontId="7" fillId="18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indent="2"/>
    </xf>
    <xf numFmtId="0" fontId="4" fillId="0" borderId="10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center"/>
    </xf>
    <xf numFmtId="3" fontId="4" fillId="2" borderId="10" xfId="47" applyNumberFormat="1" applyFont="1" applyFill="1" applyBorder="1" applyAlignment="1">
      <alignment horizontal="right"/>
    </xf>
    <xf numFmtId="3" fontId="7" fillId="18" borderId="10" xfId="47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left"/>
    </xf>
    <xf numFmtId="3" fontId="4" fillId="8" borderId="10" xfId="47" applyNumberFormat="1" applyFont="1" applyFill="1" applyBorder="1" applyAlignment="1">
      <alignment/>
    </xf>
    <xf numFmtId="0" fontId="7" fillId="12" borderId="10" xfId="0" applyFont="1" applyFill="1" applyBorder="1" applyAlignment="1">
      <alignment horizontal="left" indent="1"/>
    </xf>
    <xf numFmtId="3" fontId="7" fillId="1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left" indent="1"/>
    </xf>
    <xf numFmtId="3" fontId="7" fillId="25" borderId="10" xfId="46" applyNumberFormat="1" applyFont="1" applyFill="1" applyBorder="1" applyAlignment="1">
      <alignment horizontal="left" indent="1"/>
    </xf>
    <xf numFmtId="3" fontId="7" fillId="26" borderId="10" xfId="46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28" fillId="0" borderId="10" xfId="0" applyFont="1" applyBorder="1" applyAlignment="1">
      <alignment horizontal="left" vertical="center" indent="1"/>
    </xf>
    <xf numFmtId="0" fontId="28" fillId="0" borderId="10" xfId="0" applyFont="1" applyBorder="1" applyAlignment="1">
      <alignment horizontal="left" indent="1"/>
    </xf>
    <xf numFmtId="0" fontId="28" fillId="24" borderId="10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10" fillId="24" borderId="10" xfId="0" applyFont="1" applyFill="1" applyBorder="1" applyAlignment="1">
      <alignment horizontal="left" indent="1"/>
    </xf>
    <xf numFmtId="3" fontId="5" fillId="2" borderId="10" xfId="46" applyNumberFormat="1" applyFont="1" applyFill="1" applyBorder="1" applyAlignment="1">
      <alignment horizontal="center"/>
    </xf>
    <xf numFmtId="10" fontId="5" fillId="2" borderId="10" xfId="58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left" indent="1"/>
    </xf>
    <xf numFmtId="3" fontId="4" fillId="8" borderId="10" xfId="47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7" fillId="25" borderId="12" xfId="0" applyFont="1" applyFill="1" applyBorder="1" applyAlignment="1">
      <alignment horizontal="center"/>
    </xf>
    <xf numFmtId="1" fontId="7" fillId="25" borderId="13" xfId="0" applyNumberFormat="1" applyFont="1" applyFill="1" applyBorder="1" applyAlignment="1">
      <alignment horizontal="center"/>
    </xf>
    <xf numFmtId="1" fontId="7" fillId="24" borderId="14" xfId="0" applyNumberFormat="1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17" fontId="7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3" fontId="5" fillId="0" borderId="10" xfId="47" applyNumberFormat="1" applyFont="1" applyBorder="1" applyAlignment="1">
      <alignment/>
    </xf>
    <xf numFmtId="3" fontId="5" fillId="24" borderId="0" xfId="47" applyNumberFormat="1" applyFont="1" applyFill="1" applyBorder="1" applyAlignment="1">
      <alignment/>
    </xf>
    <xf numFmtId="0" fontId="5" fillId="0" borderId="10" xfId="0" applyFont="1" applyBorder="1" applyAlignment="1">
      <alignment horizontal="left" indent="3"/>
    </xf>
    <xf numFmtId="3" fontId="5" fillId="24" borderId="0" xfId="0" applyNumberFormat="1" applyFont="1" applyFill="1" applyAlignment="1">
      <alignment/>
    </xf>
    <xf numFmtId="1" fontId="7" fillId="25" borderId="10" xfId="0" applyNumberFormat="1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/>
    </xf>
    <xf numFmtId="173" fontId="5" fillId="0" borderId="10" xfId="46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2"/>
    </xf>
    <xf numFmtId="172" fontId="5" fillId="0" borderId="10" xfId="58" applyNumberFormat="1" applyFont="1" applyFill="1" applyBorder="1" applyAlignment="1">
      <alignment horizontal="left" indent="2"/>
    </xf>
    <xf numFmtId="173" fontId="5" fillId="2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left" indent="1"/>
    </xf>
    <xf numFmtId="0" fontId="5" fillId="24" borderId="10" xfId="0" applyFont="1" applyFill="1" applyBorder="1" applyAlignment="1">
      <alignment horizontal="left" indent="1"/>
    </xf>
    <xf numFmtId="0" fontId="30" fillId="24" borderId="0" xfId="0" applyFont="1" applyFill="1" applyAlignment="1">
      <alignment/>
    </xf>
    <xf numFmtId="3" fontId="30" fillId="24" borderId="15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173" fontId="5" fillId="0" borderId="10" xfId="58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30" fillId="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3" fontId="4" fillId="0" borderId="10" xfId="47" applyNumberFormat="1" applyFont="1" applyBorder="1" applyAlignment="1">
      <alignment/>
    </xf>
    <xf numFmtId="0" fontId="5" fillId="0" borderId="10" xfId="0" applyFont="1" applyBorder="1" applyAlignment="1">
      <alignment/>
    </xf>
    <xf numFmtId="0" fontId="30" fillId="2" borderId="10" xfId="0" applyFont="1" applyFill="1" applyBorder="1" applyAlignment="1">
      <alignment/>
    </xf>
    <xf numFmtId="3" fontId="30" fillId="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58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30" fillId="4" borderId="10" xfId="0" applyNumberFormat="1" applyFont="1" applyFill="1" applyBorder="1" applyAlignment="1">
      <alignment horizontal="center"/>
    </xf>
    <xf numFmtId="3" fontId="30" fillId="4" borderId="10" xfId="47" applyNumberFormat="1" applyFont="1" applyFill="1" applyBorder="1" applyAlignment="1">
      <alignment/>
    </xf>
    <xf numFmtId="0" fontId="30" fillId="2" borderId="10" xfId="0" applyFont="1" applyFill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3" fontId="32" fillId="27" borderId="10" xfId="0" applyNumberFormat="1" applyFont="1" applyFill="1" applyBorder="1" applyAlignment="1">
      <alignment/>
    </xf>
    <xf numFmtId="3" fontId="30" fillId="12" borderId="10" xfId="0" applyNumberFormat="1" applyFont="1" applyFill="1" applyBorder="1" applyAlignment="1">
      <alignment horizontal="center"/>
    </xf>
    <xf numFmtId="3" fontId="4" fillId="12" borderId="10" xfId="0" applyNumberFormat="1" applyFont="1" applyFill="1" applyBorder="1" applyAlignment="1">
      <alignment horizontal="center"/>
    </xf>
    <xf numFmtId="3" fontId="30" fillId="12" borderId="10" xfId="47" applyNumberFormat="1" applyFont="1" applyFill="1" applyBorder="1" applyAlignment="1">
      <alignment/>
    </xf>
    <xf numFmtId="0" fontId="5" fillId="0" borderId="10" xfId="0" applyFont="1" applyBorder="1" applyAlignment="1">
      <alignment horizontal="left" indent="2"/>
    </xf>
    <xf numFmtId="3" fontId="5" fillId="24" borderId="10" xfId="0" applyNumberFormat="1" applyFont="1" applyFill="1" applyBorder="1" applyAlignment="1">
      <alignment horizontal="center"/>
    </xf>
    <xf numFmtId="1" fontId="5" fillId="0" borderId="10" xfId="58" applyNumberFormat="1" applyFont="1" applyFill="1" applyBorder="1" applyAlignment="1">
      <alignment horizontal="center"/>
    </xf>
    <xf numFmtId="3" fontId="32" fillId="25" borderId="10" xfId="0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3" fontId="32" fillId="25" borderId="10" xfId="47" applyNumberFormat="1" applyFont="1" applyFill="1" applyBorder="1" applyAlignment="1">
      <alignment/>
    </xf>
    <xf numFmtId="3" fontId="7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4" fillId="2" borderId="10" xfId="0" applyFont="1" applyFill="1" applyBorder="1" applyAlignment="1">
      <alignment/>
    </xf>
    <xf numFmtId="0" fontId="5" fillId="0" borderId="10" xfId="0" applyFont="1" applyBorder="1" applyAlignment="1">
      <alignment horizontal="left" indent="5"/>
    </xf>
    <xf numFmtId="0" fontId="5" fillId="22" borderId="10" xfId="0" applyFont="1" applyFill="1" applyBorder="1" applyAlignment="1">
      <alignment horizontal="left" indent="3"/>
    </xf>
    <xf numFmtId="0" fontId="0" fillId="24" borderId="0" xfId="53" applyFill="1">
      <alignment/>
      <protection/>
    </xf>
    <xf numFmtId="0" fontId="5" fillId="24" borderId="0" xfId="53" applyFont="1" applyFill="1">
      <alignment/>
      <protection/>
    </xf>
    <xf numFmtId="3" fontId="5" fillId="0" borderId="16" xfId="48" applyNumberFormat="1" applyFont="1" applyBorder="1" applyAlignment="1">
      <alignment/>
    </xf>
    <xf numFmtId="0" fontId="5" fillId="24" borderId="10" xfId="53" applyFont="1" applyFill="1" applyBorder="1">
      <alignment/>
      <protection/>
    </xf>
    <xf numFmtId="0" fontId="28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28" fillId="24" borderId="0" xfId="52" applyFont="1" applyFill="1" applyProtection="1">
      <alignment/>
      <protection locked="0"/>
    </xf>
    <xf numFmtId="0" fontId="28" fillId="24" borderId="0" xfId="52" applyFont="1" applyFill="1" applyProtection="1">
      <alignment/>
      <protection locked="0"/>
    </xf>
    <xf numFmtId="0" fontId="6" fillId="24" borderId="0" xfId="53" applyFont="1" applyFill="1">
      <alignment/>
      <protection/>
    </xf>
    <xf numFmtId="0" fontId="4" fillId="24" borderId="0" xfId="53" applyFont="1" applyFill="1">
      <alignment/>
      <protection/>
    </xf>
    <xf numFmtId="3" fontId="28" fillId="24" borderId="0" xfId="52" applyNumberFormat="1" applyFont="1" applyFill="1">
      <alignment/>
      <protection/>
    </xf>
    <xf numFmtId="178" fontId="28" fillId="24" borderId="0" xfId="52" applyNumberFormat="1" applyFont="1" applyFill="1">
      <alignment/>
      <protection/>
    </xf>
    <xf numFmtId="3" fontId="5" fillId="24" borderId="0" xfId="53" applyNumberFormat="1" applyFont="1" applyFill="1">
      <alignment/>
      <protection/>
    </xf>
    <xf numFmtId="3" fontId="4" fillId="0" borderId="16" xfId="48" applyNumberFormat="1" applyFont="1" applyBorder="1" applyAlignment="1">
      <alignment/>
    </xf>
    <xf numFmtId="3" fontId="4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3" fillId="24" borderId="0" xfId="52" applyFont="1" applyFill="1" applyProtection="1">
      <alignment/>
      <protection locked="0"/>
    </xf>
    <xf numFmtId="10" fontId="4" fillId="8" borderId="10" xfId="58" applyNumberFormat="1" applyFont="1" applyFill="1" applyBorder="1" applyAlignment="1">
      <alignment horizontal="right"/>
    </xf>
    <xf numFmtId="10" fontId="7" fillId="18" borderId="10" xfId="58" applyNumberFormat="1" applyFont="1" applyFill="1" applyBorder="1" applyAlignment="1">
      <alignment/>
    </xf>
    <xf numFmtId="10" fontId="5" fillId="0" borderId="10" xfId="58" applyNumberFormat="1" applyFont="1" applyBorder="1" applyAlignment="1">
      <alignment/>
    </xf>
    <xf numFmtId="10" fontId="5" fillId="0" borderId="10" xfId="47" applyNumberFormat="1" applyFont="1" applyBorder="1" applyAlignment="1">
      <alignment/>
    </xf>
    <xf numFmtId="10" fontId="4" fillId="0" borderId="10" xfId="58" applyNumberFormat="1" applyFont="1" applyBorder="1" applyAlignment="1">
      <alignment/>
    </xf>
    <xf numFmtId="10" fontId="4" fillId="2" borderId="10" xfId="58" applyNumberFormat="1" applyFont="1" applyFill="1" applyBorder="1" applyAlignment="1">
      <alignment horizontal="right"/>
    </xf>
    <xf numFmtId="10" fontId="7" fillId="18" borderId="10" xfId="58" applyNumberFormat="1" applyFont="1" applyFill="1" applyBorder="1" applyAlignment="1">
      <alignment horizontal="center"/>
    </xf>
    <xf numFmtId="3" fontId="5" fillId="24" borderId="17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left" indent="2"/>
    </xf>
    <xf numFmtId="3" fontId="5" fillId="0" borderId="10" xfId="46" applyNumberFormat="1" applyFont="1" applyFill="1" applyBorder="1" applyAlignment="1">
      <alignment horizontal="left" indent="4"/>
    </xf>
    <xf numFmtId="0" fontId="5" fillId="24" borderId="10" xfId="0" applyFont="1" applyFill="1" applyBorder="1" applyAlignment="1">
      <alignment horizontal="left" indent="3"/>
    </xf>
    <xf numFmtId="3" fontId="28" fillId="24" borderId="0" xfId="52" applyNumberFormat="1" applyFont="1" applyFill="1">
      <alignment/>
      <protection/>
    </xf>
    <xf numFmtId="0" fontId="5" fillId="24" borderId="0" xfId="53" applyFont="1" applyFill="1" applyAlignment="1">
      <alignment horizontal="center"/>
      <protection/>
    </xf>
    <xf numFmtId="173" fontId="5" fillId="24" borderId="0" xfId="53" applyNumberFormat="1" applyFont="1" applyFill="1">
      <alignment/>
      <protection/>
    </xf>
    <xf numFmtId="179" fontId="5" fillId="24" borderId="0" xfId="53" applyNumberFormat="1" applyFont="1" applyFill="1">
      <alignment/>
      <protection/>
    </xf>
    <xf numFmtId="0" fontId="28" fillId="24" borderId="0" xfId="52" applyFont="1" applyFill="1" applyAlignment="1">
      <alignment horizontal="right"/>
      <protection/>
    </xf>
    <xf numFmtId="1" fontId="5" fillId="24" borderId="0" xfId="53" applyNumberFormat="1" applyFont="1" applyFill="1">
      <alignment/>
      <protection/>
    </xf>
    <xf numFmtId="178" fontId="5" fillId="24" borderId="0" xfId="53" applyNumberFormat="1" applyFont="1" applyFill="1">
      <alignment/>
      <protection/>
    </xf>
    <xf numFmtId="0" fontId="12" fillId="25" borderId="10" xfId="0" applyFont="1" applyFill="1" applyBorder="1" applyAlignment="1">
      <alignment horizontal="center" vertical="center"/>
    </xf>
    <xf numFmtId="180" fontId="28" fillId="24" borderId="0" xfId="52" applyNumberFormat="1" applyFont="1" applyFill="1">
      <alignment/>
      <protection/>
    </xf>
    <xf numFmtId="178" fontId="28" fillId="24" borderId="0" xfId="52" applyNumberFormat="1" applyFont="1" applyFill="1">
      <alignment/>
      <protection/>
    </xf>
    <xf numFmtId="180" fontId="5" fillId="24" borderId="0" xfId="53" applyNumberFormat="1" applyFont="1" applyFill="1">
      <alignment/>
      <protection/>
    </xf>
    <xf numFmtId="0" fontId="28" fillId="24" borderId="0" xfId="52" applyFont="1" applyFill="1" applyBorder="1" applyProtection="1">
      <alignment/>
      <protection locked="0"/>
    </xf>
    <xf numFmtId="3" fontId="7" fillId="24" borderId="0" xfId="0" applyNumberFormat="1" applyFont="1" applyFill="1" applyBorder="1" applyAlignment="1">
      <alignment horizontal="center"/>
    </xf>
    <xf numFmtId="0" fontId="28" fillId="24" borderId="0" xfId="52" applyFont="1" applyFill="1" applyBorder="1">
      <alignment/>
      <protection/>
    </xf>
    <xf numFmtId="0" fontId="5" fillId="24" borderId="0" xfId="53" applyFont="1" applyFill="1" applyBorder="1">
      <alignment/>
      <protection/>
    </xf>
    <xf numFmtId="0" fontId="4" fillId="24" borderId="0" xfId="0" applyFont="1" applyFill="1" applyBorder="1" applyAlignment="1">
      <alignment horizontal="left" indent="1"/>
    </xf>
    <xf numFmtId="3" fontId="5" fillId="24" borderId="0" xfId="48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indent="3"/>
    </xf>
    <xf numFmtId="3" fontId="28" fillId="24" borderId="0" xfId="52" applyNumberFormat="1" applyFont="1" applyFill="1" applyBorder="1">
      <alignment/>
      <protection/>
    </xf>
    <xf numFmtId="0" fontId="28" fillId="24" borderId="0" xfId="52" applyFont="1" applyFill="1" applyBorder="1" applyAlignment="1">
      <alignment horizontal="right"/>
      <protection/>
    </xf>
    <xf numFmtId="3" fontId="5" fillId="24" borderId="0" xfId="53" applyNumberFormat="1" applyFont="1" applyFill="1" applyBorder="1">
      <alignment/>
      <protection/>
    </xf>
    <xf numFmtId="1" fontId="5" fillId="24" borderId="0" xfId="53" applyNumberFormat="1" applyFont="1" applyFill="1" applyBorder="1">
      <alignment/>
      <protection/>
    </xf>
    <xf numFmtId="178" fontId="5" fillId="24" borderId="0" xfId="53" applyNumberFormat="1" applyFont="1" applyFill="1" applyBorder="1">
      <alignment/>
      <protection/>
    </xf>
    <xf numFmtId="0" fontId="4" fillId="24" borderId="0" xfId="0" applyFont="1" applyFill="1" applyBorder="1" applyAlignment="1">
      <alignment horizontal="center"/>
    </xf>
    <xf numFmtId="3" fontId="4" fillId="24" borderId="0" xfId="48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28" fillId="24" borderId="0" xfId="52" applyFont="1" applyFill="1" applyBorder="1" applyProtection="1">
      <alignment/>
      <protection locked="0"/>
    </xf>
    <xf numFmtId="0" fontId="28" fillId="24" borderId="0" xfId="52" applyFont="1" applyFill="1" applyBorder="1">
      <alignment/>
      <protection/>
    </xf>
    <xf numFmtId="3" fontId="11" fillId="24" borderId="0" xfId="0" applyNumberFormat="1" applyFont="1" applyFill="1" applyBorder="1" applyAlignment="1">
      <alignment horizontal="center" vertical="center"/>
    </xf>
    <xf numFmtId="0" fontId="0" fillId="24" borderId="0" xfId="53" applyFill="1" applyBorder="1">
      <alignment/>
      <protection/>
    </xf>
    <xf numFmtId="0" fontId="0" fillId="24" borderId="0" xfId="53" applyFont="1" applyFill="1" applyBorder="1">
      <alignment/>
      <protection/>
    </xf>
    <xf numFmtId="3" fontId="5" fillId="24" borderId="0" xfId="53" applyNumberFormat="1" applyFont="1" applyFill="1" applyBorder="1">
      <alignment/>
      <protection/>
    </xf>
    <xf numFmtId="0" fontId="0" fillId="24" borderId="0" xfId="53" applyFill="1" applyBorder="1">
      <alignment/>
      <protection/>
    </xf>
    <xf numFmtId="0" fontId="0" fillId="24" borderId="0" xfId="53" applyFont="1" applyFill="1" applyBorder="1">
      <alignment/>
      <protection/>
    </xf>
    <xf numFmtId="3" fontId="8" fillId="22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left" vertical="center" indent="1"/>
    </xf>
    <xf numFmtId="0" fontId="28" fillId="2" borderId="18" xfId="0" applyFont="1" applyFill="1" applyBorder="1" applyAlignment="1">
      <alignment horizontal="left" vertical="center" indent="1"/>
    </xf>
    <xf numFmtId="0" fontId="28" fillId="0" borderId="10" xfId="0" applyFont="1" applyBorder="1" applyAlignment="1">
      <alignment horizontal="left" vertical="center" indent="1"/>
    </xf>
    <xf numFmtId="10" fontId="28" fillId="2" borderId="10" xfId="58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3" fontId="32" fillId="25" borderId="11" xfId="0" applyNumberFormat="1" applyFont="1" applyFill="1" applyBorder="1" applyAlignment="1">
      <alignment horizontal="center"/>
    </xf>
    <xf numFmtId="3" fontId="32" fillId="25" borderId="17" xfId="0" applyNumberFormat="1" applyFont="1" applyFill="1" applyBorder="1" applyAlignment="1">
      <alignment horizontal="center"/>
    </xf>
    <xf numFmtId="3" fontId="32" fillId="25" borderId="16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_Wacc" xfId="55"/>
    <cellStyle name="Notas" xfId="56"/>
    <cellStyle name="Percent_Sheet1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w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ue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cesos%20M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Control"/>
      <sheetName val="Resultados"/>
      <sheetName val="Mercado"/>
      <sheetName val="Operadores"/>
      <sheetName val="Red de Servicio"/>
      <sheetName val="Opex"/>
      <sheetName val="Capex"/>
      <sheetName val="Financieros"/>
    </sheetNames>
    <sheetDataSet>
      <sheetData sheetId="0">
        <row r="7">
          <cell r="B7" t="str">
            <v>Masivo Puro</v>
          </cell>
          <cell r="S7" t="str">
            <v>Masivo Puro</v>
          </cell>
        </row>
        <row r="8">
          <cell r="S8" t="str">
            <v>Integrado Tipo I</v>
          </cell>
        </row>
        <row r="9">
          <cell r="S9" t="str">
            <v>Integrado intensivo en masivos</v>
          </cell>
        </row>
        <row r="22">
          <cell r="B22" t="str">
            <v>Modelo Eficiente</v>
          </cell>
        </row>
        <row r="31">
          <cell r="S31" t="str">
            <v>Modelo Eficiente</v>
          </cell>
        </row>
        <row r="44">
          <cell r="B44" t="str">
            <v>Modelo Eficiente</v>
          </cell>
        </row>
        <row r="58">
          <cell r="S58" t="str">
            <v>Modelo Eficiente</v>
          </cell>
        </row>
        <row r="59">
          <cell r="S59">
            <v>0.01</v>
          </cell>
        </row>
        <row r="60">
          <cell r="S60">
            <v>0.02</v>
          </cell>
        </row>
        <row r="61">
          <cell r="S61">
            <v>-0.01</v>
          </cell>
        </row>
        <row r="62">
          <cell r="S62">
            <v>-0.02</v>
          </cell>
        </row>
      </sheetData>
      <sheetData sheetId="7">
        <row r="2">
          <cell r="B2" t="str">
            <v>COMISION DE REGULACION DE COMUNICACIONES</v>
          </cell>
        </row>
        <row r="3">
          <cell r="B3" t="str">
            <v>OPERADOR POSTAL</v>
          </cell>
        </row>
        <row r="7">
          <cell r="D7">
            <v>2010</v>
          </cell>
          <cell r="E7">
            <v>2011</v>
          </cell>
          <cell r="F7">
            <v>2012</v>
          </cell>
          <cell r="G7">
            <v>2013</v>
          </cell>
          <cell r="H7">
            <v>2014</v>
          </cell>
          <cell r="I7">
            <v>2015</v>
          </cell>
          <cell r="J7">
            <v>2016</v>
          </cell>
          <cell r="K7">
            <v>2017</v>
          </cell>
          <cell r="L7">
            <v>2018</v>
          </cell>
          <cell r="M7">
            <v>2019</v>
          </cell>
        </row>
        <row r="11">
          <cell r="C11">
            <v>2009</v>
          </cell>
        </row>
        <row r="12">
          <cell r="C12">
            <v>0.0184</v>
          </cell>
          <cell r="D12">
            <v>0.035</v>
          </cell>
          <cell r="E12">
            <v>0.04</v>
          </cell>
          <cell r="F12">
            <v>0.04</v>
          </cell>
          <cell r="G12">
            <v>0.04</v>
          </cell>
          <cell r="H12">
            <v>0.04</v>
          </cell>
          <cell r="I12">
            <v>0.04</v>
          </cell>
          <cell r="J12">
            <v>0.04</v>
          </cell>
          <cell r="K12">
            <v>0.04</v>
          </cell>
          <cell r="L12">
            <v>0.04</v>
          </cell>
          <cell r="M12">
            <v>0.04</v>
          </cell>
        </row>
        <row r="17">
          <cell r="C17">
            <v>0.103</v>
          </cell>
        </row>
        <row r="18">
          <cell r="C18">
            <v>0.33</v>
          </cell>
        </row>
        <row r="19">
          <cell r="C19">
            <v>0.0519</v>
          </cell>
        </row>
        <row r="20">
          <cell r="C20">
            <v>0.9</v>
          </cell>
        </row>
        <row r="21">
          <cell r="C21">
            <v>0.0907</v>
          </cell>
        </row>
        <row r="22">
          <cell r="C22">
            <v>0.0358</v>
          </cell>
        </row>
        <row r="23">
          <cell r="C23">
            <v>9986086</v>
          </cell>
        </row>
        <row r="24">
          <cell r="C24">
            <v>14880052</v>
          </cell>
        </row>
        <row r="25">
          <cell r="C25">
            <v>0</v>
          </cell>
        </row>
        <row r="26">
          <cell r="C26">
            <v>0.0228</v>
          </cell>
        </row>
        <row r="29">
          <cell r="C29">
            <v>10</v>
          </cell>
        </row>
        <row r="30">
          <cell r="C30">
            <v>5</v>
          </cell>
        </row>
        <row r="33">
          <cell r="C33">
            <v>10</v>
          </cell>
        </row>
        <row r="34">
          <cell r="C34">
            <v>5</v>
          </cell>
        </row>
        <row r="37">
          <cell r="C37">
            <v>5</v>
          </cell>
        </row>
        <row r="38">
          <cell r="C38">
            <v>5</v>
          </cell>
        </row>
        <row r="41">
          <cell r="C41">
            <v>15</v>
          </cell>
        </row>
        <row r="42">
          <cell r="C42">
            <v>60</v>
          </cell>
        </row>
        <row r="43">
          <cell r="C43">
            <v>0.05</v>
          </cell>
        </row>
        <row r="45">
          <cell r="C45">
            <v>30</v>
          </cell>
        </row>
        <row r="48">
          <cell r="C48">
            <v>0.0536</v>
          </cell>
        </row>
        <row r="50">
          <cell r="C50">
            <v>0.062</v>
          </cell>
        </row>
        <row r="51">
          <cell r="C51">
            <v>0.023</v>
          </cell>
        </row>
        <row r="53">
          <cell r="C53">
            <v>0.33</v>
          </cell>
        </row>
        <row r="54">
          <cell r="C54">
            <v>0.06</v>
          </cell>
        </row>
        <row r="55">
          <cell r="C55">
            <v>0.3</v>
          </cell>
        </row>
        <row r="56">
          <cell r="C56">
            <v>0</v>
          </cell>
        </row>
        <row r="58">
          <cell r="C58">
            <v>0</v>
          </cell>
        </row>
        <row r="74">
          <cell r="C74">
            <v>1670</v>
          </cell>
          <cell r="D74">
            <v>2370</v>
          </cell>
          <cell r="E74">
            <v>3240</v>
          </cell>
        </row>
        <row r="75">
          <cell r="C75">
            <v>7260</v>
          </cell>
          <cell r="D75">
            <v>9682</v>
          </cell>
          <cell r="E75">
            <v>14150</v>
          </cell>
        </row>
        <row r="76">
          <cell r="C76">
            <v>360</v>
          </cell>
          <cell r="D76">
            <v>480</v>
          </cell>
          <cell r="E76">
            <v>707</v>
          </cell>
        </row>
        <row r="77">
          <cell r="C77">
            <v>0</v>
          </cell>
        </row>
        <row r="80">
          <cell r="C80">
            <v>492.58798000717763</v>
          </cell>
          <cell r="D80">
            <v>2320.341211154387</v>
          </cell>
          <cell r="E80">
            <v>2911.7392111543872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3">
          <cell r="C83">
            <v>1731.6</v>
          </cell>
          <cell r="D83">
            <v>5157.69510305</v>
          </cell>
          <cell r="E83">
            <v>6960.31510305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9">
          <cell r="C89">
            <v>182.4</v>
          </cell>
          <cell r="D89">
            <v>2352.48</v>
          </cell>
          <cell r="E89">
            <v>3278.16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5">
          <cell r="C95">
            <v>3350.251653810961</v>
          </cell>
          <cell r="D95">
            <v>4785.244992546225</v>
          </cell>
          <cell r="E95">
            <v>6519.334691719044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101">
          <cell r="C101">
            <v>7626.336320707921</v>
          </cell>
          <cell r="D101">
            <v>16617.271321658158</v>
          </cell>
          <cell r="E101">
            <v>23313.879622485343</v>
          </cell>
        </row>
        <row r="111">
          <cell r="D111">
            <v>-0.20030314232297142</v>
          </cell>
          <cell r="E111">
            <v>3.605304726208496</v>
          </cell>
          <cell r="F111">
            <v>3.81094716374482</v>
          </cell>
          <cell r="G111">
            <v>4.028343846654562</v>
          </cell>
          <cell r="H111">
            <v>4.258167793575647</v>
          </cell>
          <cell r="I111">
            <v>4.501130577145958</v>
          </cell>
          <cell r="J111">
            <v>4.75798468758858</v>
          </cell>
          <cell r="K111">
            <v>5.029525660242994</v>
          </cell>
          <cell r="L111">
            <v>5.316594693300981</v>
          </cell>
          <cell r="M111">
            <v>5.620081234032012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52">
          <cell r="C152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a"/>
      <sheetName val="Admisión"/>
      <sheetName val="Clasificación"/>
      <sheetName val="Alistamiento"/>
      <sheetName val="Transporte"/>
      <sheetName val="Entrega"/>
      <sheetName val="Overhead"/>
    </sheetNames>
    <sheetDataSet>
      <sheetData sheetId="0">
        <row r="17">
          <cell r="D17">
            <v>115.95428674420417</v>
          </cell>
          <cell r="E17">
            <v>122.90599522990553</v>
          </cell>
          <cell r="F17">
            <v>130.27458394733728</v>
          </cell>
          <cell r="G17">
            <v>138.0850568045273</v>
          </cell>
          <cell r="H17">
            <v>146.36391758708578</v>
          </cell>
          <cell r="I17">
            <v>155.13925986693425</v>
          </cell>
          <cell r="J17">
            <v>164.44086257930175</v>
          </cell>
          <cell r="K17">
            <v>174.30029092826376</v>
          </cell>
          <cell r="L17">
            <v>184.7510036124682</v>
          </cell>
          <cell r="M17">
            <v>195.82846641806674</v>
          </cell>
        </row>
        <row r="18">
          <cell r="D18">
            <v>115.67575140105069</v>
          </cell>
          <cell r="E18">
            <v>122.61629651840524</v>
          </cell>
          <cell r="F18">
            <v>129.97327434479857</v>
          </cell>
          <cell r="G18">
            <v>137.7716708428928</v>
          </cell>
          <cell r="H18">
            <v>146.0379711331171</v>
          </cell>
          <cell r="I18">
            <v>154.80024937393432</v>
          </cell>
          <cell r="J18">
            <v>164.0882643075704</v>
          </cell>
          <cell r="K18">
            <v>173.9335601354966</v>
          </cell>
          <cell r="L18">
            <v>184.3695737112667</v>
          </cell>
          <cell r="M18">
            <v>195.4317480996414</v>
          </cell>
        </row>
        <row r="19">
          <cell r="D19">
            <v>0.2785353431534851</v>
          </cell>
          <cell r="E19">
            <v>0.2896987115002901</v>
          </cell>
          <cell r="F19">
            <v>0.30130960253871475</v>
          </cell>
          <cell r="G19">
            <v>0.31338596163451254</v>
          </cell>
          <cell r="H19">
            <v>0.3259464539686804</v>
          </cell>
          <cell r="I19">
            <v>0.3390104929999301</v>
          </cell>
          <cell r="J19">
            <v>0.3525982717313421</v>
          </cell>
          <cell r="K19">
            <v>0.3667307927671512</v>
          </cell>
          <cell r="L19">
            <v>0.3814299012014905</v>
          </cell>
          <cell r="M19">
            <v>0.39671831842534516</v>
          </cell>
        </row>
        <row r="43">
          <cell r="D43">
            <v>43366.28660231339</v>
          </cell>
          <cell r="E43">
            <v>46271.44783629142</v>
          </cell>
          <cell r="F43">
            <v>49371.22941839397</v>
          </cell>
          <cell r="G43">
            <v>52678.66920671337</v>
          </cell>
          <cell r="H43">
            <v>56207.67848159865</v>
          </cell>
          <cell r="I43">
            <v>58467.37903255257</v>
          </cell>
          <cell r="J43">
            <v>60817.92565148017</v>
          </cell>
          <cell r="K43">
            <v>63262.97059578464</v>
          </cell>
          <cell r="L43">
            <v>65806.31295348541</v>
          </cell>
          <cell r="M43">
            <v>68451.9045462056</v>
          </cell>
        </row>
        <row r="44">
          <cell r="D44">
            <v>1083.3719162664759</v>
          </cell>
          <cell r="E44">
            <v>1095.4029383281436</v>
          </cell>
          <cell r="F44">
            <v>1107.655922122723</v>
          </cell>
          <cell r="G44">
            <v>1120.1367102183333</v>
          </cell>
          <cell r="H44">
            <v>1132.8513197794616</v>
          </cell>
          <cell r="I44">
            <v>1138.1827060516662</v>
          </cell>
          <cell r="J44">
            <v>1143.5757615206617</v>
          </cell>
          <cell r="K44">
            <v>1149.0314634464178</v>
          </cell>
          <cell r="L44">
            <v>1154.550805350092</v>
          </cell>
          <cell r="M44">
            <v>1160.1347972862723</v>
          </cell>
        </row>
      </sheetData>
      <sheetData sheetId="1">
        <row r="209">
          <cell r="D209">
            <v>6097.79664</v>
          </cell>
          <cell r="E209">
            <v>6463.372642721504</v>
          </cell>
          <cell r="F209">
            <v>6850.871516495941</v>
          </cell>
          <cell r="G209">
            <v>7261.60816524485</v>
          </cell>
          <cell r="H209">
            <v>7696.976368356462</v>
          </cell>
          <cell r="I209">
            <v>8158.453508800213</v>
          </cell>
          <cell r="J209">
            <v>8647.605599323719</v>
          </cell>
          <cell r="K209">
            <v>9166.092588866828</v>
          </cell>
          <cell r="L209">
            <v>9715.67400134128</v>
          </cell>
          <cell r="M209">
            <v>10298.21490924851</v>
          </cell>
        </row>
        <row r="217">
          <cell r="D217">
            <v>2604.9</v>
          </cell>
          <cell r="E217">
            <v>2604.9</v>
          </cell>
          <cell r="F217">
            <v>2604.9</v>
          </cell>
          <cell r="G217">
            <v>2604.9</v>
          </cell>
          <cell r="H217">
            <v>2604.9</v>
          </cell>
          <cell r="I217">
            <v>2604.9</v>
          </cell>
          <cell r="J217">
            <v>2604.9</v>
          </cell>
          <cell r="K217">
            <v>2604.9</v>
          </cell>
          <cell r="L217">
            <v>2604.9</v>
          </cell>
          <cell r="M217">
            <v>2604.9</v>
          </cell>
        </row>
        <row r="221">
          <cell r="D221">
            <v>14503.44528</v>
          </cell>
          <cell r="E221">
            <v>15372.957968627881</v>
          </cell>
          <cell r="F221">
            <v>16294.613616338886</v>
          </cell>
          <cell r="G221">
            <v>17271.539686740012</v>
          </cell>
          <cell r="H221">
            <v>18307.051246614068</v>
          </cell>
          <cell r="I221">
            <v>19404.66221161286</v>
          </cell>
          <cell r="J221">
            <v>20568.097300931495</v>
          </cell>
          <cell r="K221">
            <v>21801.304658471458</v>
          </cell>
          <cell r="L221">
            <v>23108.469264526328</v>
          </cell>
          <cell r="M221">
            <v>24494.027143871084</v>
          </cell>
        </row>
        <row r="222">
          <cell r="D222">
            <v>10053.9</v>
          </cell>
          <cell r="E222">
            <v>10053.9</v>
          </cell>
          <cell r="F222">
            <v>10053.9</v>
          </cell>
          <cell r="G222">
            <v>10053.9</v>
          </cell>
          <cell r="H222">
            <v>10053.9</v>
          </cell>
          <cell r="I222">
            <v>10053.9</v>
          </cell>
          <cell r="J222">
            <v>10053.9</v>
          </cell>
          <cell r="K222">
            <v>10053.9</v>
          </cell>
          <cell r="L222">
            <v>10053.9</v>
          </cell>
          <cell r="M222">
            <v>10053.9</v>
          </cell>
        </row>
        <row r="226">
          <cell r="D226">
            <v>20335.52682</v>
          </cell>
          <cell r="E226">
            <v>21554.68532051889</v>
          </cell>
          <cell r="F226">
            <v>22846.954349083913</v>
          </cell>
          <cell r="G226">
            <v>24216.718975506483</v>
          </cell>
          <cell r="H226">
            <v>25668.627311195323</v>
          </cell>
          <cell r="I226">
            <v>27207.606276933802</v>
          </cell>
          <cell r="J226">
            <v>28838.878364731696</v>
          </cell>
          <cell r="K226">
            <v>30567.979334172196</v>
          </cell>
          <cell r="L226">
            <v>32400.777017164077</v>
          </cell>
          <cell r="M226">
            <v>34343.49123934493</v>
          </cell>
        </row>
        <row r="227">
          <cell r="D227">
            <v>13449.48</v>
          </cell>
          <cell r="E227">
            <v>13449.48</v>
          </cell>
          <cell r="F227">
            <v>13449.48</v>
          </cell>
          <cell r="G227">
            <v>13449.48</v>
          </cell>
          <cell r="H227">
            <v>13449.48</v>
          </cell>
          <cell r="I227">
            <v>13449.48</v>
          </cell>
          <cell r="J227">
            <v>13449.48</v>
          </cell>
          <cell r="K227">
            <v>13449.48</v>
          </cell>
          <cell r="L227">
            <v>13449.48</v>
          </cell>
          <cell r="M227">
            <v>13449.48</v>
          </cell>
        </row>
      </sheetData>
      <sheetData sheetId="2">
        <row r="48">
          <cell r="D48">
            <v>1251.650128748764</v>
          </cell>
          <cell r="E48">
            <v>1323.1296848557581</v>
          </cell>
          <cell r="F48">
            <v>1398.6966120573088</v>
          </cell>
          <cell r="G48">
            <v>1478.5849224498415</v>
          </cell>
          <cell r="H48">
            <v>1563.0420414406804</v>
          </cell>
          <cell r="I48">
            <v>1652.329576690749</v>
          </cell>
          <cell r="J48">
            <v>1746.7241341393192</v>
          </cell>
          <cell r="K48">
            <v>1846.5181765969269</v>
          </cell>
          <cell r="L48">
            <v>1952.0209344960451</v>
          </cell>
          <cell r="M48">
            <v>2063.559368266448</v>
          </cell>
        </row>
        <row r="57">
          <cell r="D57">
            <v>13.999796656605152</v>
          </cell>
          <cell r="E57">
            <v>14.521169015163386</v>
          </cell>
          <cell r="F57">
            <v>15.062020478789668</v>
          </cell>
          <cell r="G57">
            <v>15.623080989406125</v>
          </cell>
          <cell r="H57">
            <v>16.20510791896933</v>
          </cell>
          <cell r="I57">
            <v>16.808887082154556</v>
          </cell>
          <cell r="J57">
            <v>17.43523386975188</v>
          </cell>
          <cell r="K57">
            <v>18.084994302461766</v>
          </cell>
          <cell r="L57">
            <v>18.75904620529075</v>
          </cell>
          <cell r="M57">
            <v>19.458300406324167</v>
          </cell>
        </row>
        <row r="63">
          <cell r="D63">
            <v>209.03778</v>
          </cell>
          <cell r="E63">
            <v>209.03778</v>
          </cell>
          <cell r="F63">
            <v>209.03778</v>
          </cell>
          <cell r="G63">
            <v>209.03778</v>
          </cell>
          <cell r="H63">
            <v>209.03778</v>
          </cell>
          <cell r="I63">
            <v>209.03778</v>
          </cell>
          <cell r="J63">
            <v>209.03778</v>
          </cell>
          <cell r="K63">
            <v>209.03778</v>
          </cell>
          <cell r="L63">
            <v>209.03778</v>
          </cell>
          <cell r="M63">
            <v>209.03778</v>
          </cell>
        </row>
        <row r="66">
          <cell r="D66">
            <v>1474.6877054053693</v>
          </cell>
          <cell r="E66">
            <v>1546.6886338709214</v>
          </cell>
          <cell r="F66">
            <v>1622.7964125360986</v>
          </cell>
          <cell r="G66">
            <v>1703.2457834392476</v>
          </cell>
          <cell r="H66">
            <v>1788.2849293596496</v>
          </cell>
          <cell r="I66">
            <v>1878.1762437729035</v>
          </cell>
          <cell r="J66">
            <v>1973.197148009071</v>
          </cell>
          <cell r="K66">
            <v>2073.640950899389</v>
          </cell>
          <cell r="L66">
            <v>2179.817760701336</v>
          </cell>
          <cell r="M66">
            <v>2292.0554486727724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3">
        <row r="22">
          <cell r="D22">
            <v>7667.9495131315525</v>
          </cell>
          <cell r="E22">
            <v>8127.659552277909</v>
          </cell>
          <cell r="F22">
            <v>8614.937494773829</v>
          </cell>
          <cell r="G22">
            <v>9131.436825882956</v>
          </cell>
          <cell r="H22">
            <v>9678.91021638334</v>
          </cell>
          <cell r="I22">
            <v>10259.215468148344</v>
          </cell>
          <cell r="J22">
            <v>10874.32183456482</v>
          </cell>
          <cell r="K22">
            <v>11526.316693322877</v>
          </cell>
          <cell r="L22">
            <v>12217.41263715376</v>
          </cell>
          <cell r="M22">
            <v>12949.954985625134</v>
          </cell>
        </row>
        <row r="23">
          <cell r="D23">
            <v>7211.706517100225</v>
          </cell>
          <cell r="E23">
            <v>7634.412213199043</v>
          </cell>
          <cell r="F23">
            <v>8081.8882372846965</v>
          </cell>
          <cell r="G23">
            <v>8555.585591050713</v>
          </cell>
          <cell r="H23">
            <v>9057.040234980708</v>
          </cell>
          <cell r="I23">
            <v>9587.878055951387</v>
          </cell>
          <cell r="J23">
            <v>10149.820142336937</v>
          </cell>
          <cell r="K23">
            <v>10744.688342556916</v>
          </cell>
          <cell r="L23">
            <v>11374.411165190151</v>
          </cell>
          <cell r="M23">
            <v>12041.03002007157</v>
          </cell>
        </row>
      </sheetData>
      <sheetData sheetId="4">
        <row r="16">
          <cell r="D16">
            <v>12768034.45568989</v>
          </cell>
          <cell r="E16">
            <v>13530544.1752478</v>
          </cell>
          <cell r="F16">
            <v>14338661.372120578</v>
          </cell>
          <cell r="G16">
            <v>15195116.761176227</v>
          </cell>
          <cell r="H16">
            <v>16102804.670394927</v>
          </cell>
          <cell r="I16">
            <v>17064792.840643913</v>
          </cell>
          <cell r="J16">
            <v>18084332.843816224</v>
          </cell>
          <cell r="K16">
            <v>19164871.080214534</v>
          </cell>
          <cell r="L16">
            <v>20310060.465260573</v>
          </cell>
          <cell r="M16">
            <v>21523772.80962325</v>
          </cell>
        </row>
        <row r="17">
          <cell r="D17">
            <v>12588710.15332243</v>
          </cell>
          <cell r="E17">
            <v>13344032.766144808</v>
          </cell>
          <cell r="F17">
            <v>14144674.735953916</v>
          </cell>
          <cell r="G17">
            <v>14993355.22418199</v>
          </cell>
          <cell r="H17">
            <v>15892956.541948002</v>
          </cell>
          <cell r="I17">
            <v>16846533.931508057</v>
          </cell>
          <cell r="J17">
            <v>17857325.964264307</v>
          </cell>
          <cell r="K17">
            <v>18928765.51879788</v>
          </cell>
          <cell r="L17">
            <v>20064491.44640412</v>
          </cell>
          <cell r="M17">
            <v>21268360.92945544</v>
          </cell>
        </row>
        <row r="18">
          <cell r="D18">
            <v>179324.30236745995</v>
          </cell>
          <cell r="E18">
            <v>186511.40910299073</v>
          </cell>
          <cell r="F18">
            <v>193986.6361666627</v>
          </cell>
          <cell r="G18">
            <v>201761.5369942375</v>
          </cell>
          <cell r="H18">
            <v>209848.1284469255</v>
          </cell>
          <cell r="I18">
            <v>218258.90913585652</v>
          </cell>
          <cell r="J18">
            <v>227006.8795519168</v>
          </cell>
          <cell r="K18">
            <v>236105.56141665738</v>
          </cell>
          <cell r="L18">
            <v>245569.0188564518</v>
          </cell>
          <cell r="M18">
            <v>255411.8801678067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1664.6908974157955</v>
          </cell>
          <cell r="E81">
            <v>1764.1065900773588</v>
          </cell>
          <cell r="F81">
            <v>1869.4685662176862</v>
          </cell>
          <cell r="G81">
            <v>1981.1328552788964</v>
          </cell>
          <cell r="H81">
            <v>2099.4768185110274</v>
          </cell>
          <cell r="I81">
            <v>2224.900426662517</v>
          </cell>
          <cell r="J81">
            <v>2357.827618292695</v>
          </cell>
          <cell r="K81">
            <v>2498.707733606011</v>
          </cell>
          <cell r="L81">
            <v>2648.017038160228</v>
          </cell>
          <cell r="M81">
            <v>2806.26033698226</v>
          </cell>
        </row>
        <row r="91">
          <cell r="C91">
            <v>1569.102392092656</v>
          </cell>
          <cell r="D91">
            <v>1664.6908974157955</v>
          </cell>
          <cell r="E91">
            <v>1764.1065900773588</v>
          </cell>
          <cell r="F91">
            <v>1869.4685662176862</v>
          </cell>
          <cell r="G91">
            <v>1981.1328552788964</v>
          </cell>
          <cell r="H91">
            <v>2099.4768185110274</v>
          </cell>
          <cell r="I91">
            <v>2224.900426662517</v>
          </cell>
          <cell r="J91">
            <v>2357.827618292695</v>
          </cell>
          <cell r="K91">
            <v>2498.707733606011</v>
          </cell>
          <cell r="L91">
            <v>2648.017038160228</v>
          </cell>
        </row>
      </sheetData>
      <sheetData sheetId="5">
        <row r="28">
          <cell r="D28">
            <v>16782.99539656352</v>
          </cell>
          <cell r="E28">
            <v>17766.710933920167</v>
          </cell>
          <cell r="F28">
            <v>18808.071676276304</v>
          </cell>
          <cell r="G28">
            <v>19910.4543770654</v>
          </cell>
          <cell r="H28">
            <v>21077.433504780456</v>
          </cell>
          <cell r="I28">
            <v>22312.792803518936</v>
          </cell>
          <cell r="J28">
            <v>23620.537569141507</v>
          </cell>
          <cell r="K28">
            <v>25004.90758505673</v>
          </cell>
          <cell r="L28">
            <v>26470.390852894165</v>
          </cell>
          <cell r="M28">
            <v>28021.738116708755</v>
          </cell>
        </row>
      </sheetData>
      <sheetData sheetId="6">
        <row r="19">
          <cell r="D19">
            <v>2986.8</v>
          </cell>
          <cell r="E19">
            <v>2986.8</v>
          </cell>
          <cell r="F19">
            <v>2986.8</v>
          </cell>
          <cell r="G19">
            <v>2986.8</v>
          </cell>
          <cell r="H19">
            <v>2986.8</v>
          </cell>
          <cell r="I19">
            <v>2986.8</v>
          </cell>
          <cell r="J19">
            <v>2986.8</v>
          </cell>
          <cell r="K19">
            <v>2986.8</v>
          </cell>
          <cell r="L19">
            <v>2986.8</v>
          </cell>
          <cell r="M19">
            <v>2986.8</v>
          </cell>
        </row>
        <row r="33">
          <cell r="C33">
            <v>2149.2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6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1.7109375" style="2" customWidth="1"/>
    <col min="2" max="2" width="54.140625" style="2" customWidth="1"/>
    <col min="3" max="3" width="12.57421875" style="2" customWidth="1"/>
    <col min="4" max="13" width="11.8515625" style="2" customWidth="1"/>
    <col min="14" max="14" width="12.00390625" style="2" bestFit="1" customWidth="1"/>
    <col min="15" max="16384" width="11.421875" style="2" customWidth="1"/>
  </cols>
  <sheetData>
    <row r="1" spans="2:8" ht="4.5" customHeight="1">
      <c r="B1" s="1"/>
      <c r="C1" s="1"/>
      <c r="D1" s="1"/>
      <c r="E1" s="1"/>
      <c r="F1" s="1"/>
      <c r="G1" s="1"/>
      <c r="H1" s="1"/>
    </row>
    <row r="2" spans="2:8" ht="11.25" customHeight="1">
      <c r="B2" s="1" t="str">
        <f>+'[1]Financieros'!$B$2</f>
        <v>COMISION DE REGULACION DE COMUNICACIONES</v>
      </c>
      <c r="C2" s="1"/>
      <c r="D2" s="1"/>
      <c r="E2" s="1"/>
      <c r="F2" s="1"/>
      <c r="G2" s="1"/>
      <c r="H2" s="1"/>
    </row>
    <row r="3" spans="2:8" ht="11.25" customHeight="1">
      <c r="B3" s="1" t="str">
        <f>+'[1]Financieros'!$B$3</f>
        <v>OPERADOR POSTAL</v>
      </c>
      <c r="C3" s="1"/>
      <c r="D3" s="1"/>
      <c r="E3" s="3"/>
      <c r="F3" s="1"/>
      <c r="G3" s="1"/>
      <c r="H3" s="1"/>
    </row>
    <row r="4" spans="2:8" ht="11.25" customHeight="1">
      <c r="B4" s="1" t="s">
        <v>19</v>
      </c>
      <c r="C4" s="1"/>
      <c r="D4" s="1"/>
      <c r="E4" s="1"/>
      <c r="F4" s="1"/>
      <c r="G4" s="1"/>
      <c r="H4" s="1"/>
    </row>
    <row r="5" spans="2:8" ht="14.25" customHeight="1">
      <c r="B5" s="16" t="s">
        <v>66</v>
      </c>
      <c r="C5" s="1"/>
      <c r="D5" s="1"/>
      <c r="E5" s="1"/>
      <c r="F5" s="1"/>
      <c r="G5" s="1"/>
      <c r="H5" s="1"/>
    </row>
    <row r="6" spans="2:8" ht="4.5" customHeight="1">
      <c r="B6" s="1"/>
      <c r="C6" s="1"/>
      <c r="D6" s="1"/>
      <c r="E6" s="1"/>
      <c r="F6" s="1"/>
      <c r="G6" s="1"/>
      <c r="H6" s="1"/>
    </row>
    <row r="7" spans="2:13" ht="14.25" customHeight="1">
      <c r="B7" s="42" t="s">
        <v>20</v>
      </c>
      <c r="C7" s="43">
        <f>+'[1]Financieros'!$C$11</f>
        <v>2009</v>
      </c>
      <c r="D7" s="43">
        <f>+'[1]Financieros'!D7</f>
        <v>2010</v>
      </c>
      <c r="E7" s="43">
        <f>+'[1]Financieros'!E7</f>
        <v>2011</v>
      </c>
      <c r="F7" s="43">
        <f>+'[1]Financieros'!F7</f>
        <v>2012</v>
      </c>
      <c r="G7" s="43">
        <f>+'[1]Financieros'!G7</f>
        <v>2013</v>
      </c>
      <c r="H7" s="43">
        <f>+'[1]Financieros'!H7</f>
        <v>2014</v>
      </c>
      <c r="I7" s="43">
        <f>+'[1]Financieros'!I7</f>
        <v>2015</v>
      </c>
      <c r="J7" s="43">
        <f>+'[1]Financieros'!J7</f>
        <v>2016</v>
      </c>
      <c r="K7" s="43">
        <f>+'[1]Financieros'!K7</f>
        <v>2017</v>
      </c>
      <c r="L7" s="43">
        <f>+'[1]Financieros'!L7</f>
        <v>2018</v>
      </c>
      <c r="M7" s="43">
        <f>+'[1]Financieros'!M7</f>
        <v>2019</v>
      </c>
    </row>
    <row r="8" spans="2:13" ht="14.25" customHeight="1">
      <c r="B8" s="45" t="s">
        <v>113</v>
      </c>
      <c r="C8" s="46">
        <f>+C9+C10-C11</f>
        <v>8570</v>
      </c>
      <c r="D8" s="46">
        <f>+D9+D10-D11</f>
        <v>8716.545595500193</v>
      </c>
      <c r="E8" s="46">
        <f>+E9+E10-E11</f>
        <v>9262.783759513044</v>
      </c>
      <c r="F8" s="46">
        <f aca="true" t="shared" si="0" ref="F8:M8">+F9+F10-F11</f>
        <v>9844.32949938115</v>
      </c>
      <c r="G8" s="46">
        <f t="shared" si="0"/>
        <v>10464.0420079245</v>
      </c>
      <c r="H8" s="46">
        <f t="shared" si="0"/>
        <v>11140.385619984194</v>
      </c>
      <c r="I8" s="46">
        <f t="shared" si="0"/>
        <v>11586.601994815543</v>
      </c>
      <c r="J8" s="46">
        <f t="shared" si="0"/>
        <v>12069.716665280137</v>
      </c>
      <c r="K8" s="46">
        <f t="shared" si="0"/>
        <v>12574.240702821282</v>
      </c>
      <c r="L8" s="46">
        <f t="shared" si="0"/>
        <v>13101.15297460878</v>
      </c>
      <c r="M8" s="46">
        <f t="shared" si="0"/>
        <v>13649.958664138614</v>
      </c>
    </row>
    <row r="9" spans="2:13" ht="14.25" customHeight="1">
      <c r="B9" s="17" t="s">
        <v>21</v>
      </c>
      <c r="C9" s="4">
        <f>IF('[1]Tablero de Control'!$B$7='[1]Tablero de Control'!$S$7,'[1]Financieros'!C74,IF('[1]Tablero de Control'!$B$7='[1]Tablero de Control'!$S$8,'[1]Financieros'!D74,IF('[1]Tablero de Control'!$B$7='[1]Tablero de Control'!$S$9,'[1]Financieros'!E74,0)))</f>
        <v>1670</v>
      </c>
      <c r="D9" s="4">
        <f>('P y G'!C15+'P y G'!C37)/360*'[1]Financieros'!$C$41</f>
        <v>1678.6829967250471</v>
      </c>
      <c r="E9" s="4">
        <f>('P y G'!D15+'P y G'!D37)/360*'[1]Financieros'!$C$41</f>
        <v>1763.0323868649473</v>
      </c>
      <c r="F9" s="4">
        <f>('P y G'!E15+'P y G'!E37)/360*'[1]Financieros'!$C$41</f>
        <v>1851.839320466008</v>
      </c>
      <c r="G9" s="4">
        <f>('P y G'!F15+'P y G'!F37)/360*'[1]Financieros'!$C$41</f>
        <v>1945.8977377436456</v>
      </c>
      <c r="H9" s="4">
        <f>('P y G'!G15+'P y G'!G37)/360*'[1]Financieros'!$C$41</f>
        <v>2061.4684014326613</v>
      </c>
      <c r="I9" s="4">
        <f>('P y G'!H15+'P y G'!H37)/360*'[1]Financieros'!$C$41</f>
        <v>2149.054719536538</v>
      </c>
      <c r="J9" s="4">
        <f>('P y G'!I15+'P y G'!I37)/360*'[1]Financieros'!$C$41</f>
        <v>2259.145608221673</v>
      </c>
      <c r="K9" s="4">
        <f>('P y G'!J15+'P y G'!J37)/360*'[1]Financieros'!$C$41</f>
        <v>2375.6737101096987</v>
      </c>
      <c r="L9" s="4">
        <f>('P y G'!K15+'P y G'!K37)/360*'[1]Financieros'!$C$41</f>
        <v>2499.0162127931562</v>
      </c>
      <c r="M9" s="4">
        <f>('P y G'!L15+'P y G'!L37)/360*'[1]Financieros'!$C$41</f>
        <v>2628.052434752402</v>
      </c>
    </row>
    <row r="10" spans="2:13" ht="14.25" customHeight="1">
      <c r="B10" s="17" t="s">
        <v>22</v>
      </c>
      <c r="C10" s="4">
        <f>IF('[1]Tablero de Control'!$B$7='[1]Tablero de Control'!$S$7,'[1]Financieros'!C75,IF('[1]Tablero de Control'!$B$7='[1]Tablero de Control'!$S$8,'[1]Financieros'!D75,IF('[1]Tablero de Control'!$B$7='[1]Tablero de Control'!$S$9,'[1]Financieros'!E75,0)))</f>
        <v>7260</v>
      </c>
      <c r="D10" s="4">
        <f>+'P y G'!C10*'[1]Financieros'!$C$42/360</f>
        <v>7408.276419763311</v>
      </c>
      <c r="E10" s="4">
        <f>+'P y G'!D10*'[1]Financieros'!$C$42/360</f>
        <v>7894.475129103261</v>
      </c>
      <c r="F10" s="4">
        <f>+'P y G'!E10*'[1]Financieros'!$C$42/360</f>
        <v>8413.147556752781</v>
      </c>
      <c r="G10" s="4">
        <f>+'P y G'!F10*'[1]Financieros'!$C$42/360</f>
        <v>8966.467652821952</v>
      </c>
      <c r="H10" s="4">
        <f>+'P y G'!G10*'[1]Financieros'!$C$42/360</f>
        <v>9556.754966896351</v>
      </c>
      <c r="I10" s="4">
        <f>+'P y G'!H10*'[1]Financieros'!$C$42/360</f>
        <v>9934.260289767373</v>
      </c>
      <c r="J10" s="4">
        <f>+'P y G'!I10*'[1]Financieros'!$C$42/360</f>
        <v>10326.916902166804</v>
      </c>
      <c r="K10" s="4">
        <f>+'P y G'!J10*'[1]Financieros'!$C$42/360</f>
        <v>10735.333676538508</v>
      </c>
      <c r="L10" s="4">
        <f>+'P y G'!K10*'[1]Financieros'!$C$42/360</f>
        <v>11160.143959805919</v>
      </c>
      <c r="M10" s="4">
        <f>+'P y G'!L10*'[1]Financieros'!$C$42/360</f>
        <v>11602.006557248644</v>
      </c>
    </row>
    <row r="11" spans="2:13" ht="14.25" customHeight="1">
      <c r="B11" s="17" t="s">
        <v>23</v>
      </c>
      <c r="C11" s="4">
        <f>IF('[1]Tablero de Control'!$B$7='[1]Tablero de Control'!$S$7,'[1]Financieros'!C76,IF('[1]Tablero de Control'!$B$7='[1]Tablero de Control'!$S$8,'[1]Financieros'!D76,IF('[1]Tablero de Control'!$B$7='[1]Tablero de Control'!$S$9,'[1]Financieros'!E76,0)))</f>
        <v>360</v>
      </c>
      <c r="D11" s="4">
        <f>+D10*'[1]Financieros'!$C$43</f>
        <v>370.4138209881656</v>
      </c>
      <c r="E11" s="4">
        <f>+E10*'[1]Financieros'!$C$43</f>
        <v>394.7237564551631</v>
      </c>
      <c r="F11" s="4">
        <f>+F10*'[1]Financieros'!$C$43</f>
        <v>420.6573778376391</v>
      </c>
      <c r="G11" s="4">
        <f>+G10*'[1]Financieros'!$C$43</f>
        <v>448.3233826410976</v>
      </c>
      <c r="H11" s="4">
        <f>+H10*'[1]Financieros'!$C$43</f>
        <v>477.83774834481756</v>
      </c>
      <c r="I11" s="4">
        <f>+I10*'[1]Financieros'!$C$43</f>
        <v>496.7130144883687</v>
      </c>
      <c r="J11" s="4">
        <f>+J10*'[1]Financieros'!$C$43</f>
        <v>516.3458451083402</v>
      </c>
      <c r="K11" s="4">
        <f>+K10*'[1]Financieros'!$C$43</f>
        <v>536.7666838269255</v>
      </c>
      <c r="L11" s="4">
        <f>+L10*'[1]Financieros'!$C$43</f>
        <v>558.0071979902959</v>
      </c>
      <c r="M11" s="4">
        <f>+M10*'[1]Financieros'!$C$43</f>
        <v>580.1003278624322</v>
      </c>
    </row>
    <row r="12" spans="2:13" ht="14.25" customHeight="1">
      <c r="B12" s="45" t="s">
        <v>114</v>
      </c>
      <c r="C12" s="46">
        <f>+'[1]Financieros'!C77</f>
        <v>0</v>
      </c>
      <c r="D12" s="46">
        <f>IF('Flujo de Caja'!D41&gt;0,'Flujo de Caja'!D41,0)</f>
        <v>3137.1879827997996</v>
      </c>
      <c r="E12" s="46">
        <f>IF('Flujo de Caja'!E41&gt;0,'Flujo de Caja'!E41,0)</f>
        <v>6751.879394052564</v>
      </c>
      <c r="F12" s="46">
        <f>IF('Flujo de Caja'!F41&gt;0,'Flujo de Caja'!F41,0)</f>
        <v>11141.09909926089</v>
      </c>
      <c r="G12" s="46">
        <f>IF('Flujo de Caja'!G41&gt;0,'Flujo de Caja'!G41,0)</f>
        <v>16387.727424795103</v>
      </c>
      <c r="H12" s="46">
        <f>IF('Flujo de Caja'!H41&gt;0,'Flujo de Caja'!H41,0)</f>
        <v>20777.329025074432</v>
      </c>
      <c r="I12" s="46">
        <f>IF('Flujo de Caja'!I41&gt;0,'Flujo de Caja'!I41,0)</f>
        <v>27175.358125015282</v>
      </c>
      <c r="J12" s="46">
        <f>IF('Flujo de Caja'!J41&gt;0,'Flujo de Caja'!J41,0)</f>
        <v>33620.52178999746</v>
      </c>
      <c r="K12" s="46">
        <f>IF('Flujo de Caja'!K41&gt;0,'Flujo de Caja'!K41,0)</f>
        <v>40056.71598629553</v>
      </c>
      <c r="L12" s="46">
        <f>IF('Flujo de Caja'!L41&gt;0,'Flujo de Caja'!L41,0)</f>
        <v>46438.92375038535</v>
      </c>
      <c r="M12" s="46">
        <f>IF('Flujo de Caja'!M41&gt;0,'Flujo de Caja'!M41,0)</f>
        <v>50252.24178136877</v>
      </c>
    </row>
    <row r="13" spans="2:13" ht="14.25" customHeight="1">
      <c r="B13" s="47" t="s">
        <v>112</v>
      </c>
      <c r="C13" s="44">
        <f>+C14+C17+C20</f>
        <v>2224.1879800071774</v>
      </c>
      <c r="D13" s="44">
        <f>+D14+D17+D20</f>
        <v>1828.4088788641368</v>
      </c>
      <c r="E13" s="44">
        <f>+E14+E17+E20</f>
        <v>1436.4554159038598</v>
      </c>
      <c r="F13" s="44">
        <f aca="true" t="shared" si="1" ref="F13:M13">+F14+F17+F20</f>
        <v>1044.3470649084984</v>
      </c>
      <c r="G13" s="44">
        <f t="shared" si="1"/>
        <v>652.075015879672</v>
      </c>
      <c r="H13" s="44">
        <f t="shared" si="1"/>
        <v>1644.909956413101</v>
      </c>
      <c r="I13" s="44">
        <f t="shared" si="1"/>
        <v>1252.2820429507433</v>
      </c>
      <c r="J13" s="44">
        <f t="shared" si="1"/>
        <v>859.4608705411131</v>
      </c>
      <c r="K13" s="44">
        <f t="shared" si="1"/>
        <v>466.43544063537865</v>
      </c>
      <c r="L13" s="44">
        <f t="shared" si="1"/>
        <v>73.19412719667883</v>
      </c>
      <c r="M13" s="44">
        <f t="shared" si="1"/>
        <v>1903.9126208365553</v>
      </c>
    </row>
    <row r="14" spans="2:13" ht="14.25" customHeight="1">
      <c r="B14" s="48" t="s">
        <v>199</v>
      </c>
      <c r="C14" s="49">
        <f>+C15-C16</f>
        <v>492.58798000717763</v>
      </c>
      <c r="D14" s="49">
        <f aca="true" t="shared" si="2" ref="D14:M14">+D15-D16</f>
        <v>443.1288788641369</v>
      </c>
      <c r="E14" s="49">
        <f t="shared" si="2"/>
        <v>397.4954159038599</v>
      </c>
      <c r="F14" s="49">
        <f t="shared" si="2"/>
        <v>351.7070649084984</v>
      </c>
      <c r="G14" s="49">
        <f t="shared" si="2"/>
        <v>305.7550158796721</v>
      </c>
      <c r="H14" s="49">
        <f t="shared" si="2"/>
        <v>259.62995641310147</v>
      </c>
      <c r="I14" s="49">
        <f t="shared" si="2"/>
        <v>213.3220429507436</v>
      </c>
      <c r="J14" s="49">
        <f t="shared" si="2"/>
        <v>166.82087054111372</v>
      </c>
      <c r="K14" s="49">
        <f t="shared" si="2"/>
        <v>120.1154406353794</v>
      </c>
      <c r="L14" s="49">
        <f t="shared" si="2"/>
        <v>73.19412719667883</v>
      </c>
      <c r="M14" s="49">
        <f t="shared" si="2"/>
        <v>518.632620836557</v>
      </c>
    </row>
    <row r="15" spans="2:14" ht="14.25" customHeight="1">
      <c r="B15" s="17" t="s">
        <v>99</v>
      </c>
      <c r="C15" s="4">
        <f>IF('[1]Tablero de Control'!$B$7='[1]Tablero de Control'!$S$7,'[1]Financieros'!C80,IF('[1]Tablero de Control'!$B$7='[1]Tablero de Control'!$S$8,'[1]Financieros'!D80,IF('[1]Tablero de Control'!$B$7='[1]Tablero de Control'!$S$9,'[1]Financieros'!E80,0)))</f>
        <v>492.58798000717763</v>
      </c>
      <c r="D15" s="4">
        <f>C15+'Reposiciones Activos'!C80</f>
        <v>492.38767686485465</v>
      </c>
      <c r="E15" s="4">
        <f>D15+'Reposiciones Activos'!D80</f>
        <v>495.99298159106314</v>
      </c>
      <c r="F15" s="4">
        <f>E15+'Reposiciones Activos'!E80</f>
        <v>499.80392875480794</v>
      </c>
      <c r="G15" s="4">
        <f>F15+'Reposiciones Activos'!F80</f>
        <v>503.8322726014625</v>
      </c>
      <c r="H15" s="4">
        <f>G15+'Reposiciones Activos'!G80</f>
        <v>508.0904403950381</v>
      </c>
      <c r="I15" s="4">
        <f>H15+'Reposiciones Activos'!H80</f>
        <v>512.5915709721841</v>
      </c>
      <c r="J15" s="4">
        <f>I15+'Reposiciones Activos'!I80</f>
        <v>517.3495556597726</v>
      </c>
      <c r="K15" s="4">
        <f>J15+'Reposiciones Activos'!J80</f>
        <v>522.3790813200155</v>
      </c>
      <c r="L15" s="4">
        <f>K15+'Reposiciones Activos'!K80</f>
        <v>527.6956760133165</v>
      </c>
      <c r="M15" s="4">
        <f>L15+'Reposiciones Activos'!L80</f>
        <v>1025.9037372545263</v>
      </c>
      <c r="N15" s="5"/>
    </row>
    <row r="16" spans="2:13" ht="14.25" customHeight="1">
      <c r="B16" s="17" t="s">
        <v>24</v>
      </c>
      <c r="C16" s="4">
        <f>IF('[1]Tablero de Control'!$B$7='[1]Tablero de Control'!$S$7,'[1]Financieros'!C81,IF('[1]Tablero de Control'!$B$7='[1]Tablero de Control'!$S$8,'[1]Financieros'!D81,IF('[1]Tablero de Control'!$B$7='[1]Tablero de Control'!$S$9,'[1]Financieros'!E81,0)))</f>
        <v>0</v>
      </c>
      <c r="D16" s="4">
        <f>+C16+'Depreciaciones Iniciales'!C26+'Reposiciones Activos'!C114</f>
        <v>49.25879800071777</v>
      </c>
      <c r="E16" s="4">
        <f>+D16+'Depreciaciones Iniciales'!D26+'Reposiciones Activos'!D114</f>
        <v>98.49756568720323</v>
      </c>
      <c r="F16" s="4">
        <f>+E16+'Depreciaciones Iniciales'!E26+'Reposiciones Activos'!E114</f>
        <v>148.09686384630956</v>
      </c>
      <c r="G16" s="4">
        <f>+F16+'Depreciaciones Iniciales'!F26+'Reposiciones Activos'!F114</f>
        <v>198.07725672179038</v>
      </c>
      <c r="H16" s="4">
        <f>+G16+'Depreciaciones Iniciales'!G26+'Reposiciones Activos'!G114</f>
        <v>248.46048398193665</v>
      </c>
      <c r="I16" s="4">
        <f>+H16+'Depreciaciones Iniciales'!H26+'Reposiciones Activos'!H114</f>
        <v>299.26952802144046</v>
      </c>
      <c r="J16" s="4">
        <f>+I16+'Depreciaciones Iniciales'!I26+'Reposiciones Activos'!I114</f>
        <v>350.52868511865887</v>
      </c>
      <c r="K16" s="4">
        <f>+J16+'Depreciaciones Iniciales'!J26+'Reposiciones Activos'!J114</f>
        <v>402.26364068463613</v>
      </c>
      <c r="L16" s="4">
        <f>+K16+'Depreciaciones Iniciales'!K26+'Reposiciones Activos'!K114</f>
        <v>454.5015488166377</v>
      </c>
      <c r="M16" s="4">
        <f>+L16+'Depreciaciones Iniciales'!L26+'Reposiciones Activos'!L114</f>
        <v>507.2711164179693</v>
      </c>
    </row>
    <row r="17" spans="2:13" ht="14.25" customHeight="1">
      <c r="B17" s="48" t="s">
        <v>200</v>
      </c>
      <c r="C17" s="49">
        <f>+C18-C19</f>
        <v>1731.6</v>
      </c>
      <c r="D17" s="49">
        <f aca="true" t="shared" si="3" ref="D17:M17">+D18-D19</f>
        <v>1385.28</v>
      </c>
      <c r="E17" s="49">
        <f t="shared" si="3"/>
        <v>1038.96</v>
      </c>
      <c r="F17" s="49">
        <f t="shared" si="3"/>
        <v>692.6399999999999</v>
      </c>
      <c r="G17" s="49">
        <f t="shared" si="3"/>
        <v>346.31999999999994</v>
      </c>
      <c r="H17" s="49">
        <f t="shared" si="3"/>
        <v>1385.2799999999997</v>
      </c>
      <c r="I17" s="49">
        <f t="shared" si="3"/>
        <v>1038.9599999999996</v>
      </c>
      <c r="J17" s="49">
        <f t="shared" si="3"/>
        <v>692.6399999999994</v>
      </c>
      <c r="K17" s="49">
        <f t="shared" si="3"/>
        <v>346.31999999999925</v>
      </c>
      <c r="L17" s="49">
        <f t="shared" si="3"/>
        <v>0</v>
      </c>
      <c r="M17" s="49">
        <f t="shared" si="3"/>
        <v>1385.2799999999984</v>
      </c>
    </row>
    <row r="18" spans="2:14" ht="14.25" customHeight="1">
      <c r="B18" s="17" t="s">
        <v>100</v>
      </c>
      <c r="C18" s="4">
        <f>IF('[1]Tablero de Control'!$B$7='[1]Tablero de Control'!$S$7,'[1]Financieros'!C83,IF('[1]Tablero de Control'!$B$7='[1]Tablero de Control'!$S$8,'[1]Financieros'!D83,IF('[1]Tablero de Control'!$B$7='[1]Tablero de Control'!$S$9,'[1]Financieros'!E83,0)))</f>
        <v>1731.6</v>
      </c>
      <c r="D18" s="4">
        <f>C18+'Reposiciones Activos'!C81</f>
        <v>1731.6</v>
      </c>
      <c r="E18" s="4">
        <f>D18+'Reposiciones Activos'!D81</f>
        <v>1731.6</v>
      </c>
      <c r="F18" s="4">
        <f>E18+'Reposiciones Activos'!E81</f>
        <v>1731.6</v>
      </c>
      <c r="G18" s="4">
        <f>F18+'Reposiciones Activos'!F81</f>
        <v>1731.6</v>
      </c>
      <c r="H18" s="4">
        <f>G18+'Reposiciones Activos'!G81</f>
        <v>3463.2</v>
      </c>
      <c r="I18" s="4">
        <f>H18+'Reposiciones Activos'!H81</f>
        <v>3463.2</v>
      </c>
      <c r="J18" s="4">
        <f>I18+'Reposiciones Activos'!I81</f>
        <v>3463.2</v>
      </c>
      <c r="K18" s="4">
        <f>J18+'Reposiciones Activos'!J81</f>
        <v>3463.2</v>
      </c>
      <c r="L18" s="4">
        <f>K18+'Reposiciones Activos'!K81</f>
        <v>3463.2</v>
      </c>
      <c r="M18" s="4">
        <f>L18+'Reposiciones Activos'!L81</f>
        <v>5194.799999999999</v>
      </c>
      <c r="N18" s="5"/>
    </row>
    <row r="19" spans="2:13" ht="14.25" customHeight="1">
      <c r="B19" s="17" t="s">
        <v>25</v>
      </c>
      <c r="C19" s="4">
        <f>IF('[1]Tablero de Control'!$B$7='[1]Tablero de Control'!$S$7,'[1]Financieros'!C84,IF('[1]Tablero de Control'!$B$7='[1]Tablero de Control'!$S$8,'[1]Financieros'!D84,IF('[1]Tablero de Control'!$B$7='[1]Tablero de Control'!$S$9,'[1]Financieros'!E84,0)))</f>
        <v>0</v>
      </c>
      <c r="D19" s="4">
        <f>+C19+'Depreciaciones Iniciales'!C27+'Reposiciones Activos'!D138</f>
        <v>346.32</v>
      </c>
      <c r="E19" s="4">
        <f>+D19+'Depreciaciones Iniciales'!D27+'Reposiciones Activos'!E138</f>
        <v>692.64</v>
      </c>
      <c r="F19" s="4">
        <f>+E19+'Depreciaciones Iniciales'!E27+'Reposiciones Activos'!F138</f>
        <v>1038.96</v>
      </c>
      <c r="G19" s="4">
        <f>+F19+'Depreciaciones Iniciales'!F27+'Reposiciones Activos'!G138</f>
        <v>1385.28</v>
      </c>
      <c r="H19" s="4">
        <f>+G19+'Depreciaciones Iniciales'!G27+'Reposiciones Activos'!H138</f>
        <v>2077.92</v>
      </c>
      <c r="I19" s="4">
        <f>+H19+'Depreciaciones Iniciales'!H27+'Reposiciones Activos'!I138</f>
        <v>2424.2400000000002</v>
      </c>
      <c r="J19" s="4">
        <f>+I19+'Depreciaciones Iniciales'!I27+'Reposiciones Activos'!J138</f>
        <v>2770.5600000000004</v>
      </c>
      <c r="K19" s="4">
        <f>+J19+'Depreciaciones Iniciales'!J27+'Reposiciones Activos'!K138</f>
        <v>3116.8800000000006</v>
      </c>
      <c r="L19" s="4">
        <f>+K19+'Depreciaciones Iniciales'!K27+'Reposiciones Activos'!L138</f>
        <v>3463.2000000000007</v>
      </c>
      <c r="M19" s="4">
        <f>+L19+'Depreciaciones Iniciales'!L27+'Reposiciones Activos'!M138</f>
        <v>3809.520000000001</v>
      </c>
    </row>
    <row r="20" spans="2:13" ht="14.25" customHeight="1">
      <c r="B20" s="48" t="s">
        <v>115</v>
      </c>
      <c r="C20" s="49">
        <f>+C21-C22</f>
        <v>0</v>
      </c>
      <c r="D20" s="49">
        <f aca="true" t="shared" si="4" ref="D20:M20">+D21-D22</f>
        <v>0</v>
      </c>
      <c r="E20" s="49">
        <f t="shared" si="4"/>
        <v>0</v>
      </c>
      <c r="F20" s="49">
        <f t="shared" si="4"/>
        <v>0</v>
      </c>
      <c r="G20" s="49">
        <f t="shared" si="4"/>
        <v>0</v>
      </c>
      <c r="H20" s="49">
        <f t="shared" si="4"/>
        <v>0</v>
      </c>
      <c r="I20" s="49">
        <f t="shared" si="4"/>
        <v>0</v>
      </c>
      <c r="J20" s="49">
        <f t="shared" si="4"/>
        <v>0</v>
      </c>
      <c r="K20" s="49">
        <f t="shared" si="4"/>
        <v>0</v>
      </c>
      <c r="L20" s="49">
        <f t="shared" si="4"/>
        <v>0</v>
      </c>
      <c r="M20" s="49">
        <f t="shared" si="4"/>
        <v>0</v>
      </c>
    </row>
    <row r="21" spans="2:14" ht="14.25" customHeight="1">
      <c r="B21" s="17" t="s">
        <v>101</v>
      </c>
      <c r="C21" s="4">
        <f>IF('[1]Tablero de Control'!$B$7='[1]Tablero de Control'!$S$7,'[1]Financieros'!C86,IF('[1]Tablero de Control'!$B$7='[1]Tablero de Control'!$S$8,'[1]Financieros'!D86,IF('[1]Tablero de Control'!$B$7='[1]Tablero de Control'!$S$9,'[1]Financieros'!E86,0)))</f>
        <v>0</v>
      </c>
      <c r="D21" s="4">
        <f>C21+'Reposiciones Activos'!C82</f>
        <v>0</v>
      </c>
      <c r="E21" s="4">
        <f>D21+'Reposiciones Activos'!D82</f>
        <v>0</v>
      </c>
      <c r="F21" s="4">
        <f>E21+'Reposiciones Activos'!E82</f>
        <v>0</v>
      </c>
      <c r="G21" s="4">
        <f>F21+'Reposiciones Activos'!F82</f>
        <v>0</v>
      </c>
      <c r="H21" s="4">
        <f>G21+'Reposiciones Activos'!G82</f>
        <v>0</v>
      </c>
      <c r="I21" s="4">
        <f>H21+'Reposiciones Activos'!H82</f>
        <v>0</v>
      </c>
      <c r="J21" s="4">
        <f>I21+'Reposiciones Activos'!I82</f>
        <v>0</v>
      </c>
      <c r="K21" s="4">
        <f>J21+'Reposiciones Activos'!J82</f>
        <v>0</v>
      </c>
      <c r="L21" s="4">
        <f>K21+'Reposiciones Activos'!K82</f>
        <v>0</v>
      </c>
      <c r="M21" s="4">
        <f>L21+'Reposiciones Activos'!L82</f>
        <v>0</v>
      </c>
      <c r="N21" s="5"/>
    </row>
    <row r="22" spans="2:13" ht="14.25" customHeight="1">
      <c r="B22" s="17" t="s">
        <v>26</v>
      </c>
      <c r="C22" s="4">
        <f>IF('[1]Tablero de Control'!$B$7='[1]Tablero de Control'!$S$7,'[1]Financieros'!C87,IF('[1]Tablero de Control'!$B$7='[1]Tablero de Control'!$S$8,'[1]Financieros'!D87,IF('[1]Tablero de Control'!$B$7='[1]Tablero de Control'!$S$9,'[1]Financieros'!E87,0)))</f>
        <v>0</v>
      </c>
      <c r="D22" s="4">
        <f>C22+'Depreciaciones Iniciales'!C28+'Reposiciones Activos'!C162</f>
        <v>0</v>
      </c>
      <c r="E22" s="4">
        <f>D22+'Depreciaciones Iniciales'!D28+'Reposiciones Activos'!D162</f>
        <v>0</v>
      </c>
      <c r="F22" s="4">
        <f>E22+'Depreciaciones Iniciales'!E28+'Reposiciones Activos'!E162</f>
        <v>0</v>
      </c>
      <c r="G22" s="4">
        <f>F22+'Depreciaciones Iniciales'!F28+'Reposiciones Activos'!F162</f>
        <v>0</v>
      </c>
      <c r="H22" s="4">
        <f>G22+'Depreciaciones Iniciales'!G28+'Reposiciones Activos'!G162</f>
        <v>0</v>
      </c>
      <c r="I22" s="4">
        <f>H22+'Depreciaciones Iniciales'!H28+'Reposiciones Activos'!H162</f>
        <v>0</v>
      </c>
      <c r="J22" s="4">
        <f>I22+'Depreciaciones Iniciales'!I28+'Reposiciones Activos'!I162</f>
        <v>0</v>
      </c>
      <c r="K22" s="4">
        <f>J22+'Depreciaciones Iniciales'!J28+'Reposiciones Activos'!J162</f>
        <v>0</v>
      </c>
      <c r="L22" s="4">
        <f>K22+'Depreciaciones Iniciales'!K28+'Reposiciones Activos'!K162</f>
        <v>0</v>
      </c>
      <c r="M22" s="4">
        <f>L22+'Depreciaciones Iniciales'!L28+'Reposiciones Activos'!L162</f>
        <v>0</v>
      </c>
    </row>
    <row r="23" spans="2:13" ht="14.25" customHeight="1">
      <c r="B23" s="45" t="s">
        <v>119</v>
      </c>
      <c r="C23" s="46">
        <f>+C24-C25</f>
        <v>182.4</v>
      </c>
      <c r="D23" s="46">
        <f>+D24-D25</f>
        <v>145.92000000000002</v>
      </c>
      <c r="E23" s="46">
        <f>+E24-E25</f>
        <v>109.44</v>
      </c>
      <c r="F23" s="46">
        <f aca="true" t="shared" si="5" ref="F23:M23">+F24-F25</f>
        <v>72.96</v>
      </c>
      <c r="G23" s="46">
        <f t="shared" si="5"/>
        <v>36.47999999999999</v>
      </c>
      <c r="H23" s="46">
        <f t="shared" si="5"/>
        <v>145.92000000000002</v>
      </c>
      <c r="I23" s="46">
        <f t="shared" si="5"/>
        <v>109.44</v>
      </c>
      <c r="J23" s="46">
        <f t="shared" si="5"/>
        <v>72.95999999999998</v>
      </c>
      <c r="K23" s="46">
        <f t="shared" si="5"/>
        <v>36.47999999999996</v>
      </c>
      <c r="L23" s="46">
        <f t="shared" si="5"/>
        <v>0</v>
      </c>
      <c r="M23" s="46">
        <f t="shared" si="5"/>
        <v>182.39999999999998</v>
      </c>
    </row>
    <row r="24" spans="2:14" ht="14.25" customHeight="1">
      <c r="B24" s="17" t="s">
        <v>110</v>
      </c>
      <c r="C24" s="4">
        <f>IF('[1]Tablero de Control'!$B$7='[1]Tablero de Control'!$S$7,'[1]Financieros'!C89,IF('[1]Tablero de Control'!$B$7='[1]Tablero de Control'!$S$8,'[1]Financieros'!D89,IF('[1]Tablero de Control'!$B$7='[1]Tablero de Control'!$S$9,'[1]Financieros'!E89,0)))</f>
        <v>182.4</v>
      </c>
      <c r="D24" s="4">
        <f>C24+'Reposiciones Software'!C43</f>
        <v>182.4</v>
      </c>
      <c r="E24" s="4">
        <f>D24+'Reposiciones Software'!D43</f>
        <v>182.4</v>
      </c>
      <c r="F24" s="4">
        <f>E24+'Reposiciones Software'!E43</f>
        <v>182.4</v>
      </c>
      <c r="G24" s="4">
        <f>F24+'Reposiciones Software'!F43</f>
        <v>182.4</v>
      </c>
      <c r="H24" s="4">
        <f>G24+'Reposiciones Software'!G43</f>
        <v>364.8</v>
      </c>
      <c r="I24" s="4">
        <f>H24+'Reposiciones Software'!H43</f>
        <v>364.8</v>
      </c>
      <c r="J24" s="4">
        <f>I24+'Reposiciones Software'!I43</f>
        <v>364.8</v>
      </c>
      <c r="K24" s="4">
        <f>J24+'Reposiciones Software'!J43</f>
        <v>364.8</v>
      </c>
      <c r="L24" s="4">
        <f>K24+'Reposiciones Software'!K43</f>
        <v>364.8</v>
      </c>
      <c r="M24" s="4">
        <f>L24+'Reposiciones Software'!L43</f>
        <v>547.2</v>
      </c>
      <c r="N24" s="5"/>
    </row>
    <row r="25" spans="2:13" ht="14.25" customHeight="1">
      <c r="B25" s="17" t="s">
        <v>111</v>
      </c>
      <c r="C25" s="4">
        <f>IF('[1]Tablero de Control'!$B$7='[1]Tablero de Control'!$S$7,'[1]Financieros'!C90,IF('[1]Tablero de Control'!$B$7='[1]Tablero de Control'!$S$8,'[1]Financieros'!D90,IF('[1]Tablero de Control'!$B$7='[1]Tablero de Control'!$S$9,'[1]Financieros'!E90,0)))</f>
        <v>0</v>
      </c>
      <c r="D25" s="18">
        <f>+C25+'Amortizaciones Iniciales'!C26+'Reposiciones Software'!D70</f>
        <v>36.480000000000004</v>
      </c>
      <c r="E25" s="18">
        <f>+D25+'Amortizaciones Iniciales'!D26+'Reposiciones Software'!E70</f>
        <v>72.96000000000001</v>
      </c>
      <c r="F25" s="18">
        <f>+E25+'Amortizaciones Iniciales'!E26+'Reposiciones Software'!F70</f>
        <v>109.44000000000001</v>
      </c>
      <c r="G25" s="18">
        <f>+F25+'Amortizaciones Iniciales'!F26+'Reposiciones Software'!G70</f>
        <v>145.92000000000002</v>
      </c>
      <c r="H25" s="18">
        <f>+G25+'Amortizaciones Iniciales'!G26+'Reposiciones Software'!H70</f>
        <v>218.88</v>
      </c>
      <c r="I25" s="18">
        <f>+H25+'Amortizaciones Iniciales'!H26+'Reposiciones Software'!I70</f>
        <v>255.36</v>
      </c>
      <c r="J25" s="18">
        <f>+I25+'Amortizaciones Iniciales'!I26+'Reposiciones Software'!J70</f>
        <v>291.84000000000003</v>
      </c>
      <c r="K25" s="18">
        <f>+J25+'Amortizaciones Iniciales'!J26+'Reposiciones Software'!K70</f>
        <v>328.32000000000005</v>
      </c>
      <c r="L25" s="18">
        <f>+K25+'Amortizaciones Iniciales'!K26+'Reposiciones Software'!L70</f>
        <v>364.80000000000007</v>
      </c>
      <c r="M25" s="18">
        <f>+L25+'Amortizaciones Iniciales'!L26+'Reposiciones Software'!M70</f>
        <v>364.80000000000007</v>
      </c>
    </row>
    <row r="26" spans="2:14" ht="14.25" customHeight="1">
      <c r="B26" s="50" t="s">
        <v>27</v>
      </c>
      <c r="C26" s="51">
        <f>+C8+C12+C13+C23</f>
        <v>10976.587980007176</v>
      </c>
      <c r="D26" s="51">
        <f>+D8+D12+D13+D23</f>
        <v>13828.06245716413</v>
      </c>
      <c r="E26" s="51">
        <f>+E8+E12+E13+E23</f>
        <v>17560.558569469467</v>
      </c>
      <c r="F26" s="51">
        <f aca="true" t="shared" si="6" ref="F26:M26">+F8+F12+F13+F23</f>
        <v>22102.73566355054</v>
      </c>
      <c r="G26" s="51">
        <f t="shared" si="6"/>
        <v>27540.324448599273</v>
      </c>
      <c r="H26" s="51">
        <f t="shared" si="6"/>
        <v>33708.54460147172</v>
      </c>
      <c r="I26" s="51">
        <f t="shared" si="6"/>
        <v>40123.682162781566</v>
      </c>
      <c r="J26" s="51">
        <f t="shared" si="6"/>
        <v>46622.65932581871</v>
      </c>
      <c r="K26" s="51">
        <f t="shared" si="6"/>
        <v>53133.8721297522</v>
      </c>
      <c r="L26" s="51">
        <f t="shared" si="6"/>
        <v>59613.270852190806</v>
      </c>
      <c r="M26" s="51">
        <f t="shared" si="6"/>
        <v>65988.51306634393</v>
      </c>
      <c r="N26" s="5"/>
    </row>
    <row r="27" spans="2:8" ht="14.25" customHeight="1">
      <c r="B27" s="1"/>
      <c r="C27" s="1"/>
      <c r="D27" s="1"/>
      <c r="E27" s="1"/>
      <c r="F27" s="1"/>
      <c r="G27" s="1"/>
      <c r="H27" s="1"/>
    </row>
    <row r="28" spans="2:13" ht="14.25" customHeight="1">
      <c r="B28" s="1" t="str">
        <f>+B2</f>
        <v>COMISION DE REGULACION DE COMUNICACIONES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4.25" customHeight="1">
      <c r="B29" s="1" t="str">
        <f>+B3</f>
        <v>OPERADOR POSTAL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4.25" customHeight="1">
      <c r="B30" s="1" t="s">
        <v>67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4.25" customHeight="1">
      <c r="B31" s="16" t="str">
        <f>+B5</f>
        <v> (Millones de Pesos)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8" ht="4.5" customHeight="1">
      <c r="B32" s="1"/>
      <c r="C32" s="1"/>
      <c r="D32" s="1"/>
      <c r="E32" s="1"/>
      <c r="F32" s="1"/>
      <c r="G32" s="1"/>
      <c r="H32" s="1"/>
    </row>
    <row r="33" spans="2:29" ht="14.25" customHeight="1">
      <c r="B33" s="50" t="s">
        <v>28</v>
      </c>
      <c r="C33" s="52">
        <f aca="true" t="shared" si="7" ref="C33:M33">+C7</f>
        <v>2009</v>
      </c>
      <c r="D33" s="52">
        <f t="shared" si="7"/>
        <v>2010</v>
      </c>
      <c r="E33" s="52">
        <f t="shared" si="7"/>
        <v>2011</v>
      </c>
      <c r="F33" s="52">
        <f t="shared" si="7"/>
        <v>2012</v>
      </c>
      <c r="G33" s="52">
        <f t="shared" si="7"/>
        <v>2013</v>
      </c>
      <c r="H33" s="52">
        <f t="shared" si="7"/>
        <v>2014</v>
      </c>
      <c r="I33" s="52">
        <f t="shared" si="7"/>
        <v>2015</v>
      </c>
      <c r="J33" s="52">
        <f t="shared" si="7"/>
        <v>2016</v>
      </c>
      <c r="K33" s="52">
        <f t="shared" si="7"/>
        <v>2017</v>
      </c>
      <c r="L33" s="52">
        <f t="shared" si="7"/>
        <v>2018</v>
      </c>
      <c r="M33" s="52">
        <f t="shared" si="7"/>
        <v>2019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2:13" ht="14.25" customHeight="1">
      <c r="B34" s="45" t="s">
        <v>116</v>
      </c>
      <c r="C34" s="46">
        <f>SUM(C35:C36)</f>
        <v>3350.251653810961</v>
      </c>
      <c r="D34" s="46">
        <f>SUM(D35:D36)</f>
        <v>3357.3659934500943</v>
      </c>
      <c r="E34" s="46">
        <f>SUM(E35:E36)</f>
        <v>3526.064773729894</v>
      </c>
      <c r="F34" s="46">
        <f aca="true" t="shared" si="8" ref="F34:M34">SUM(F35:F36)</f>
        <v>3703.678640932016</v>
      </c>
      <c r="G34" s="46">
        <f t="shared" si="8"/>
        <v>3891.7954754872912</v>
      </c>
      <c r="H34" s="46">
        <f t="shared" si="8"/>
        <v>4122.936802865322</v>
      </c>
      <c r="I34" s="46">
        <f t="shared" si="8"/>
        <v>4298.109439073076</v>
      </c>
      <c r="J34" s="46">
        <f t="shared" si="8"/>
        <v>4518.291216443346</v>
      </c>
      <c r="K34" s="46">
        <f t="shared" si="8"/>
        <v>4751.347420219397</v>
      </c>
      <c r="L34" s="46">
        <f t="shared" si="8"/>
        <v>4998.032425586313</v>
      </c>
      <c r="M34" s="46">
        <f t="shared" si="8"/>
        <v>5256.104869504804</v>
      </c>
    </row>
    <row r="35" spans="2:13" ht="14.25" customHeight="1">
      <c r="B35" s="17" t="s">
        <v>29</v>
      </c>
      <c r="C35" s="4">
        <f>IF('[1]Tablero de Control'!$B$7='[1]Tablero de Control'!$S$7,'[1]Financieros'!C95,IF('[1]Tablero de Control'!$B$7='[1]Tablero de Control'!$S$8,'[1]Financieros'!D95,IF('[1]Tablero de Control'!$B$7='[1]Tablero de Control'!$S$9,'[1]Financieros'!E95,0)))</f>
        <v>3350.251653810961</v>
      </c>
      <c r="D35" s="4">
        <f>+('P y G'!C15+'P y G'!C37)*'[1]Financieros'!$C$45/360</f>
        <v>3357.3659934500943</v>
      </c>
      <c r="E35" s="4">
        <f>+('P y G'!D15+'P y G'!D37)*'[1]Financieros'!$C$45/360</f>
        <v>3526.064773729894</v>
      </c>
      <c r="F35" s="4">
        <f>+('P y G'!E15+'P y G'!E37)*'[1]Financieros'!$C$45/360</f>
        <v>3703.678640932016</v>
      </c>
      <c r="G35" s="4">
        <f>+('P y G'!F15+'P y G'!F37)*'[1]Financieros'!$C$45/360</f>
        <v>3891.7954754872912</v>
      </c>
      <c r="H35" s="4">
        <f>+('P y G'!G15+'P y G'!G37)*'[1]Financieros'!$C$45/360</f>
        <v>4122.936802865322</v>
      </c>
      <c r="I35" s="4">
        <f>+('P y G'!H15+'P y G'!H37)*'[1]Financieros'!$C$45/360</f>
        <v>4298.109439073076</v>
      </c>
      <c r="J35" s="4">
        <f>+('P y G'!I15+'P y G'!I37)*'[1]Financieros'!$C$45/360</f>
        <v>4518.291216443346</v>
      </c>
      <c r="K35" s="4">
        <f>+('P y G'!J15+'P y G'!J37)*'[1]Financieros'!$C$45/360</f>
        <v>4751.347420219397</v>
      </c>
      <c r="L35" s="4">
        <f>+('P y G'!K15+'P y G'!K37)*'[1]Financieros'!$C$45/360</f>
        <v>4998.032425586313</v>
      </c>
      <c r="M35" s="4">
        <f>+('P y G'!L15+'P y G'!L37)*'[1]Financieros'!$C$45/360</f>
        <v>5256.104869504804</v>
      </c>
    </row>
    <row r="36" spans="2:13" ht="14.25" customHeight="1">
      <c r="B36" s="17" t="s">
        <v>30</v>
      </c>
      <c r="C36" s="4">
        <f>IF('[1]Tablero de Control'!$B$7='[1]Tablero de Control'!$S$7,'[1]Financieros'!C96,IF('[1]Tablero de Control'!$B$7='[1]Tablero de Control'!$S$8,'[1]Financieros'!D96,IF('[1]Tablero de Control'!$B$7='[1]Tablero de Control'!$S$9,'[1]Financieros'!E96,0)))</f>
        <v>0</v>
      </c>
      <c r="D36" s="4">
        <f>+C36</f>
        <v>0</v>
      </c>
      <c r="E36" s="4">
        <f aca="true" t="shared" si="9" ref="E36:M36">+D36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  <c r="K36" s="4">
        <f t="shared" si="9"/>
        <v>0</v>
      </c>
      <c r="L36" s="4">
        <f t="shared" si="9"/>
        <v>0</v>
      </c>
      <c r="M36" s="4">
        <f t="shared" si="9"/>
        <v>0</v>
      </c>
    </row>
    <row r="37" spans="2:13" ht="14.25" customHeight="1">
      <c r="B37" s="47" t="s">
        <v>117</v>
      </c>
      <c r="C37" s="44">
        <f aca="true" t="shared" si="10" ref="C37:M37">SUM(C38:C38)</f>
        <v>0</v>
      </c>
      <c r="D37" s="44">
        <f t="shared" si="10"/>
        <v>0</v>
      </c>
      <c r="E37" s="44">
        <f t="shared" si="10"/>
        <v>0</v>
      </c>
      <c r="F37" s="44">
        <f t="shared" si="10"/>
        <v>0</v>
      </c>
      <c r="G37" s="44">
        <f t="shared" si="10"/>
        <v>0</v>
      </c>
      <c r="H37" s="44">
        <f t="shared" si="10"/>
        <v>0</v>
      </c>
      <c r="I37" s="44">
        <f t="shared" si="10"/>
        <v>0</v>
      </c>
      <c r="J37" s="44">
        <f t="shared" si="10"/>
        <v>0</v>
      </c>
      <c r="K37" s="44">
        <f t="shared" si="10"/>
        <v>0</v>
      </c>
      <c r="L37" s="44">
        <f t="shared" si="10"/>
        <v>0</v>
      </c>
      <c r="M37" s="44">
        <f t="shared" si="10"/>
        <v>0</v>
      </c>
    </row>
    <row r="38" spans="2:13" ht="14.25" customHeight="1">
      <c r="B38" s="17" t="s">
        <v>64</v>
      </c>
      <c r="C38" s="4">
        <f>IF('[1]Tablero de Control'!$B$7='[1]Tablero de Control'!$S$7,'[1]Financieros'!C98,IF('[1]Tablero de Control'!$B$7='[1]Tablero de Control'!$S$8,'[1]Financieros'!D98,IF('[1]Tablero de Control'!$B$7='[1]Tablero de Control'!$S$9,'[1]Financieros'!E98,0)))</f>
        <v>0</v>
      </c>
      <c r="D38" s="4">
        <f>IF('Flujo de Caja'!D41&lt;0,-'Flujo de Caja'!D41,0)</f>
        <v>0</v>
      </c>
      <c r="E38" s="4">
        <f>IF('Flujo de Caja'!E41&lt;0,-'Flujo de Caja'!E41,0)</f>
        <v>0</v>
      </c>
      <c r="F38" s="4">
        <f>IF('Flujo de Caja'!F41&lt;0,-'Flujo de Caja'!F41,0)</f>
        <v>0</v>
      </c>
      <c r="G38" s="4">
        <f>IF('Flujo de Caja'!G41&lt;0,-'Flujo de Caja'!G41,0)</f>
        <v>0</v>
      </c>
      <c r="H38" s="4">
        <f>IF('Flujo de Caja'!H41&lt;0,-'Flujo de Caja'!H41,0)</f>
        <v>0</v>
      </c>
      <c r="I38" s="4">
        <f>IF('Flujo de Caja'!I41&lt;0,-'Flujo de Caja'!I41,0)</f>
        <v>0</v>
      </c>
      <c r="J38" s="4">
        <f>IF('Flujo de Caja'!J41&lt;0,-'Flujo de Caja'!J41,0)</f>
        <v>0</v>
      </c>
      <c r="K38" s="4">
        <f>IF('Flujo de Caja'!K41&lt;0,-'Flujo de Caja'!K41,0)</f>
        <v>0</v>
      </c>
      <c r="L38" s="4">
        <f>IF('Flujo de Caja'!L41&lt;0,-'Flujo de Caja'!L41,0)</f>
        <v>0</v>
      </c>
      <c r="M38" s="4">
        <f>IF('Flujo de Caja'!M41&lt;0,-'Flujo de Caja'!M41,0)</f>
        <v>0</v>
      </c>
    </row>
    <row r="39" spans="2:13" ht="14.25" customHeight="1">
      <c r="B39" s="50" t="s">
        <v>31</v>
      </c>
      <c r="C39" s="52">
        <f>+C34+C37</f>
        <v>3350.251653810961</v>
      </c>
      <c r="D39" s="52">
        <f>+D34+D37</f>
        <v>3357.3659934500943</v>
      </c>
      <c r="E39" s="52">
        <f>+E34+E37</f>
        <v>3526.064773729894</v>
      </c>
      <c r="F39" s="52">
        <f aca="true" t="shared" si="11" ref="F39:M39">+F34+F37</f>
        <v>3703.678640932016</v>
      </c>
      <c r="G39" s="52">
        <f t="shared" si="11"/>
        <v>3891.7954754872912</v>
      </c>
      <c r="H39" s="52">
        <f t="shared" si="11"/>
        <v>4122.936802865322</v>
      </c>
      <c r="I39" s="52">
        <f t="shared" si="11"/>
        <v>4298.109439073076</v>
      </c>
      <c r="J39" s="52">
        <f t="shared" si="11"/>
        <v>4518.291216443346</v>
      </c>
      <c r="K39" s="52">
        <f t="shared" si="11"/>
        <v>4751.347420219397</v>
      </c>
      <c r="L39" s="52">
        <f t="shared" si="11"/>
        <v>4998.032425586313</v>
      </c>
      <c r="M39" s="52">
        <f t="shared" si="11"/>
        <v>5256.104869504804</v>
      </c>
    </row>
    <row r="40" spans="2:13" ht="14.25" customHeight="1">
      <c r="B40" s="45" t="s">
        <v>118</v>
      </c>
      <c r="C40" s="46">
        <f>SUM(C41:C44)</f>
        <v>7626.336320707921</v>
      </c>
      <c r="D40" s="46">
        <f>SUM(D41:D44)</f>
        <v>10470.696458225739</v>
      </c>
      <c r="E40" s="46">
        <f>SUM(E41:E44)</f>
        <v>14034.493790251265</v>
      </c>
      <c r="F40" s="46">
        <f aca="true" t="shared" si="12" ref="F40:M40">SUM(F41:F44)</f>
        <v>18399.057017129882</v>
      </c>
      <c r="G40" s="46">
        <f t="shared" si="12"/>
        <v>23648.528967621554</v>
      </c>
      <c r="H40" s="46">
        <f t="shared" si="12"/>
        <v>29585.60779311604</v>
      </c>
      <c r="I40" s="46">
        <f t="shared" si="12"/>
        <v>35825.5727182668</v>
      </c>
      <c r="J40" s="46">
        <f t="shared" si="12"/>
        <v>42104.36810443476</v>
      </c>
      <c r="K40" s="46">
        <f t="shared" si="12"/>
        <v>48382.52470705282</v>
      </c>
      <c r="L40" s="46">
        <f t="shared" si="12"/>
        <v>54615.238432515784</v>
      </c>
      <c r="M40" s="46">
        <f t="shared" si="12"/>
        <v>60732.40821978744</v>
      </c>
    </row>
    <row r="41" spans="2:13" ht="14.25" customHeight="1">
      <c r="B41" s="17" t="s">
        <v>32</v>
      </c>
      <c r="C41" s="4">
        <f>IF('[1]Tablero de Control'!$B$7='[1]Tablero de Control'!$S$7,'[1]Financieros'!C101,IF('[1]Tablero de Control'!$B$7='[1]Tablero de Control'!$S$8,'[1]Financieros'!D101,IF('[1]Tablero de Control'!$B$7='[1]Tablero de Control'!$S$9,'[1]Financieros'!E101,0)))</f>
        <v>7626.336320707921</v>
      </c>
      <c r="D41" s="4">
        <f>+'[1]Financieros'!D65+C41</f>
        <v>7626.336320707921</v>
      </c>
      <c r="E41" s="4">
        <f>+'[1]Financieros'!E65+D41</f>
        <v>7626.336320707921</v>
      </c>
      <c r="F41" s="4">
        <f>+'[1]Financieros'!F65+E41</f>
        <v>7626.336320707921</v>
      </c>
      <c r="G41" s="4">
        <f>+'[1]Financieros'!G65+F41</f>
        <v>7626.336320707921</v>
      </c>
      <c r="H41" s="4">
        <f>+'[1]Financieros'!H65+G41</f>
        <v>7626.336320707921</v>
      </c>
      <c r="I41" s="4">
        <f>+'[1]Financieros'!I65+H41</f>
        <v>7626.336320707921</v>
      </c>
      <c r="J41" s="4">
        <f>+'[1]Financieros'!J65+I41</f>
        <v>7626.336320707921</v>
      </c>
      <c r="K41" s="4">
        <f>+'[1]Financieros'!K65+J41</f>
        <v>7626.336320707921</v>
      </c>
      <c r="L41" s="4">
        <f>+'[1]Financieros'!L65+K41</f>
        <v>7626.336320707921</v>
      </c>
      <c r="M41" s="4">
        <f>+'[1]Financieros'!M65+L41</f>
        <v>7626.336320707921</v>
      </c>
    </row>
    <row r="42" spans="2:13" ht="14.25" customHeight="1">
      <c r="B42" s="17" t="s">
        <v>33</v>
      </c>
      <c r="C42" s="4">
        <f>IF('[1]Tablero de Control'!$B$7='[1]Tablero de Control'!$S$7,'[1]Financieros'!C102,IF('[1]Tablero de Control'!$B$7='[1]Tablero de Control'!$S$8,'[1]Financieros'!D102,IF('[1]Tablero de Control'!$B$7='[1]Tablero de Control'!$S$9,'[1]Financieros'!E102,0)))</f>
        <v>0</v>
      </c>
      <c r="D42" s="4">
        <f>+C42</f>
        <v>0</v>
      </c>
      <c r="E42" s="4">
        <f>+D42</f>
        <v>0</v>
      </c>
      <c r="F42" s="4">
        <f aca="true" t="shared" si="13" ref="F42:M42">+E42</f>
        <v>0</v>
      </c>
      <c r="G42" s="4">
        <f t="shared" si="13"/>
        <v>0</v>
      </c>
      <c r="H42" s="4">
        <f t="shared" si="13"/>
        <v>0</v>
      </c>
      <c r="I42" s="4">
        <f t="shared" si="13"/>
        <v>0</v>
      </c>
      <c r="J42" s="4">
        <f t="shared" si="13"/>
        <v>0</v>
      </c>
      <c r="K42" s="4">
        <f t="shared" si="13"/>
        <v>0</v>
      </c>
      <c r="L42" s="4">
        <f t="shared" si="13"/>
        <v>0</v>
      </c>
      <c r="M42" s="4">
        <f t="shared" si="13"/>
        <v>0</v>
      </c>
    </row>
    <row r="43" spans="2:13" ht="14.25" customHeight="1">
      <c r="B43" s="17" t="s">
        <v>34</v>
      </c>
      <c r="C43" s="4">
        <f>IF('[1]Tablero de Control'!$B$7='[1]Tablero de Control'!$S$7,'[1]Financieros'!C103,IF('[1]Tablero de Control'!$B$7='[1]Tablero de Control'!$S$8,'[1]Financieros'!D103,IF('[1]Tablero de Control'!$B$7='[1]Tablero de Control'!$S$9,'[1]Financieros'!E103,0)))</f>
        <v>0</v>
      </c>
      <c r="D43" s="4">
        <f>+'P y G'!C49</f>
        <v>2844.3601375178177</v>
      </c>
      <c r="E43" s="4">
        <f>+'P y G'!D49</f>
        <v>3563.7973320255232</v>
      </c>
      <c r="F43" s="4">
        <f>+'P y G'!E49</f>
        <v>4364.563226878712</v>
      </c>
      <c r="G43" s="4">
        <f>+'P y G'!F49</f>
        <v>5249.471950492058</v>
      </c>
      <c r="H43" s="4">
        <f>+'P y G'!G49</f>
        <v>5937.078825497516</v>
      </c>
      <c r="I43" s="4">
        <f>+'P y G'!H49</f>
        <v>6239.964925169359</v>
      </c>
      <c r="J43" s="4">
        <f>+'P y G'!I49</f>
        <v>6278.795386188149</v>
      </c>
      <c r="K43" s="4">
        <f>+'P y G'!J49</f>
        <v>6278.156602470297</v>
      </c>
      <c r="L43" s="4">
        <f>+'P y G'!K49</f>
        <v>6232.713723940026</v>
      </c>
      <c r="M43" s="4">
        <f>+'P y G'!L49</f>
        <v>6117.169780953993</v>
      </c>
    </row>
    <row r="44" spans="2:13" ht="14.25" customHeight="1">
      <c r="B44" s="17" t="s">
        <v>35</v>
      </c>
      <c r="C44" s="4">
        <f>IF('[1]Tablero de Control'!$B$7='[1]Tablero de Control'!$S$7,'[1]Financieros'!C104,IF('[1]Tablero de Control'!$B$7='[1]Tablero de Control'!$S$8,'[1]Financieros'!D104,IF('[1]Tablero de Control'!$B$7='[1]Tablero de Control'!$S$9,'[1]Financieros'!E104,0)))</f>
        <v>0</v>
      </c>
      <c r="D44" s="4">
        <f>+C44+C43</f>
        <v>0</v>
      </c>
      <c r="E44" s="4">
        <f aca="true" t="shared" si="14" ref="E44:M44">+D44+D43</f>
        <v>2844.3601375178177</v>
      </c>
      <c r="F44" s="4">
        <f t="shared" si="14"/>
        <v>6408.157469543341</v>
      </c>
      <c r="G44" s="4">
        <f t="shared" si="14"/>
        <v>10772.720696422053</v>
      </c>
      <c r="H44" s="4">
        <f t="shared" si="14"/>
        <v>16022.19264691411</v>
      </c>
      <c r="I44" s="4">
        <f t="shared" si="14"/>
        <v>21959.271472411627</v>
      </c>
      <c r="J44" s="4">
        <f t="shared" si="14"/>
        <v>28199.236397580986</v>
      </c>
      <c r="K44" s="4">
        <f t="shared" si="14"/>
        <v>34478.03178376913</v>
      </c>
      <c r="L44" s="4">
        <f t="shared" si="14"/>
        <v>40756.18838623943</v>
      </c>
      <c r="M44" s="4">
        <f t="shared" si="14"/>
        <v>46988.90211017946</v>
      </c>
    </row>
    <row r="45" spans="2:13" ht="14.25" customHeight="1">
      <c r="B45" s="50" t="s">
        <v>36</v>
      </c>
      <c r="C45" s="52">
        <f>+C39+C40</f>
        <v>10976.587974518883</v>
      </c>
      <c r="D45" s="52">
        <f>+D39+D40</f>
        <v>13828.062451675833</v>
      </c>
      <c r="E45" s="52">
        <f>+E39+E40</f>
        <v>17560.558563981158</v>
      </c>
      <c r="F45" s="52">
        <f aca="true" t="shared" si="15" ref="F45:M45">+F39+F40</f>
        <v>22102.735658061898</v>
      </c>
      <c r="G45" s="52">
        <f t="shared" si="15"/>
        <v>27540.324443108846</v>
      </c>
      <c r="H45" s="52">
        <f t="shared" si="15"/>
        <v>33708.54459598136</v>
      </c>
      <c r="I45" s="52">
        <f t="shared" si="15"/>
        <v>40123.68215733988</v>
      </c>
      <c r="J45" s="52">
        <f t="shared" si="15"/>
        <v>46622.659320878105</v>
      </c>
      <c r="K45" s="52">
        <f t="shared" si="15"/>
        <v>53133.87212727222</v>
      </c>
      <c r="L45" s="52">
        <f t="shared" si="15"/>
        <v>59613.2708581021</v>
      </c>
      <c r="M45" s="52">
        <f t="shared" si="15"/>
        <v>65988.51308929225</v>
      </c>
    </row>
    <row r="46" ht="14.25" customHeight="1">
      <c r="E46" s="5"/>
    </row>
    <row r="47" spans="5:6" ht="14.25" customHeight="1">
      <c r="E47" s="5"/>
      <c r="F47" s="5"/>
    </row>
    <row r="48" spans="2:13" ht="14.25" customHeight="1">
      <c r="B48" s="2" t="s">
        <v>253</v>
      </c>
      <c r="C48" s="7">
        <f aca="true" t="shared" si="16" ref="C48:M48">+C8+C11</f>
        <v>8930</v>
      </c>
      <c r="D48" s="7">
        <f t="shared" si="16"/>
        <v>9086.959416488358</v>
      </c>
      <c r="E48" s="7">
        <f t="shared" si="16"/>
        <v>9657.507515968207</v>
      </c>
      <c r="F48" s="7">
        <f t="shared" si="16"/>
        <v>10264.98687721879</v>
      </c>
      <c r="G48" s="7">
        <f t="shared" si="16"/>
        <v>10912.365390565597</v>
      </c>
      <c r="H48" s="7">
        <f t="shared" si="16"/>
        <v>11618.22336832901</v>
      </c>
      <c r="I48" s="7">
        <f t="shared" si="16"/>
        <v>12083.315009303911</v>
      </c>
      <c r="J48" s="7">
        <f t="shared" si="16"/>
        <v>12586.062510388478</v>
      </c>
      <c r="K48" s="7">
        <f t="shared" si="16"/>
        <v>13111.007386648207</v>
      </c>
      <c r="L48" s="7">
        <f t="shared" si="16"/>
        <v>13659.160172599077</v>
      </c>
      <c r="M48" s="7">
        <f t="shared" si="16"/>
        <v>14230.058992001046</v>
      </c>
    </row>
    <row r="49" spans="2:13" ht="14.25" customHeight="1">
      <c r="B49" s="2" t="s">
        <v>254</v>
      </c>
      <c r="C49" s="7">
        <f aca="true" t="shared" si="17" ref="C49:M49">+C48-C34</f>
        <v>5579.748346189039</v>
      </c>
      <c r="D49" s="7">
        <f t="shared" si="17"/>
        <v>5729.5934230382645</v>
      </c>
      <c r="E49" s="7">
        <f t="shared" si="17"/>
        <v>6131.442742238313</v>
      </c>
      <c r="F49" s="7">
        <f t="shared" si="17"/>
        <v>6561.3082362867735</v>
      </c>
      <c r="G49" s="7">
        <f t="shared" si="17"/>
        <v>7020.569915078306</v>
      </c>
      <c r="H49" s="7">
        <f t="shared" si="17"/>
        <v>7495.286565463689</v>
      </c>
      <c r="I49" s="7">
        <f t="shared" si="17"/>
        <v>7785.205570230835</v>
      </c>
      <c r="J49" s="7">
        <f t="shared" si="17"/>
        <v>8067.771293945132</v>
      </c>
      <c r="K49" s="7">
        <f t="shared" si="17"/>
        <v>8359.659966428811</v>
      </c>
      <c r="L49" s="7">
        <f t="shared" si="17"/>
        <v>8661.127747012764</v>
      </c>
      <c r="M49" s="7">
        <f t="shared" si="17"/>
        <v>8973.954122496241</v>
      </c>
    </row>
    <row r="50" spans="2:13" ht="14.25" customHeight="1">
      <c r="B50" s="2" t="s">
        <v>37</v>
      </c>
      <c r="C50" s="8">
        <f>+C49</f>
        <v>5579.748346189039</v>
      </c>
      <c r="D50" s="9">
        <f aca="true" t="shared" si="18" ref="D50:M50">+D49-C49</f>
        <v>149.84507684922573</v>
      </c>
      <c r="E50" s="9">
        <f t="shared" si="18"/>
        <v>401.84931920004874</v>
      </c>
      <c r="F50" s="9">
        <f t="shared" si="18"/>
        <v>429.8654940484603</v>
      </c>
      <c r="G50" s="9">
        <f t="shared" si="18"/>
        <v>459.2616787915322</v>
      </c>
      <c r="H50" s="9">
        <f t="shared" si="18"/>
        <v>474.7166503853832</v>
      </c>
      <c r="I50" s="9">
        <f t="shared" si="18"/>
        <v>289.91900476714636</v>
      </c>
      <c r="J50" s="9">
        <f t="shared" si="18"/>
        <v>282.56572371429684</v>
      </c>
      <c r="K50" s="9">
        <f t="shared" si="18"/>
        <v>291.88867248367933</v>
      </c>
      <c r="L50" s="9">
        <f t="shared" si="18"/>
        <v>301.46778058395284</v>
      </c>
      <c r="M50" s="9">
        <f t="shared" si="18"/>
        <v>312.826375483477</v>
      </c>
    </row>
    <row r="51" spans="4:13" ht="14.25" customHeight="1">
      <c r="D51" s="10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4.25" customHeight="1">
      <c r="B52" s="2" t="s">
        <v>38</v>
      </c>
      <c r="C52" s="12">
        <f aca="true" t="shared" si="19" ref="C52:M52">+C26</f>
        <v>10976.587980007176</v>
      </c>
      <c r="D52" s="12">
        <f t="shared" si="19"/>
        <v>13828.06245716413</v>
      </c>
      <c r="E52" s="13">
        <f t="shared" si="19"/>
        <v>17560.558569469467</v>
      </c>
      <c r="F52" s="13">
        <f t="shared" si="19"/>
        <v>22102.73566355054</v>
      </c>
      <c r="G52" s="13">
        <f t="shared" si="19"/>
        <v>27540.324448599273</v>
      </c>
      <c r="H52" s="13">
        <f t="shared" si="19"/>
        <v>33708.54460147172</v>
      </c>
      <c r="I52" s="13">
        <f t="shared" si="19"/>
        <v>40123.682162781566</v>
      </c>
      <c r="J52" s="13">
        <f t="shared" si="19"/>
        <v>46622.65932581871</v>
      </c>
      <c r="K52" s="13">
        <f t="shared" si="19"/>
        <v>53133.8721297522</v>
      </c>
      <c r="L52" s="13">
        <f t="shared" si="19"/>
        <v>59613.270852190806</v>
      </c>
      <c r="M52" s="13">
        <f t="shared" si="19"/>
        <v>65988.51306634393</v>
      </c>
    </row>
    <row r="53" spans="2:13" ht="14.25" customHeight="1">
      <c r="B53" s="2" t="s">
        <v>39</v>
      </c>
      <c r="C53" s="12">
        <f>+C45</f>
        <v>10976.587974518883</v>
      </c>
      <c r="D53" s="12">
        <f>+D45</f>
        <v>13828.062451675833</v>
      </c>
      <c r="E53" s="13">
        <f>+E45</f>
        <v>17560.558563981158</v>
      </c>
      <c r="F53" s="13">
        <f aca="true" t="shared" si="20" ref="F53:M53">+F45</f>
        <v>22102.735658061898</v>
      </c>
      <c r="G53" s="13">
        <f t="shared" si="20"/>
        <v>27540.324443108846</v>
      </c>
      <c r="H53" s="13">
        <f t="shared" si="20"/>
        <v>33708.54459598136</v>
      </c>
      <c r="I53" s="13">
        <f t="shared" si="20"/>
        <v>40123.68215733988</v>
      </c>
      <c r="J53" s="13">
        <f t="shared" si="20"/>
        <v>46622.659320878105</v>
      </c>
      <c r="K53" s="13">
        <f t="shared" si="20"/>
        <v>53133.87212727222</v>
      </c>
      <c r="L53" s="13">
        <f t="shared" si="20"/>
        <v>59613.2708581021</v>
      </c>
      <c r="M53" s="13">
        <f t="shared" si="20"/>
        <v>65988.51308929225</v>
      </c>
    </row>
    <row r="54" spans="2:13" ht="14.25" customHeight="1">
      <c r="B54" s="2" t="s">
        <v>40</v>
      </c>
      <c r="C54" s="12">
        <f aca="true" t="shared" si="21" ref="C54:M54">+C52-C53</f>
        <v>5.488293027156033E-06</v>
      </c>
      <c r="D54" s="12">
        <f t="shared" si="21"/>
        <v>5.48829666513484E-06</v>
      </c>
      <c r="E54" s="13">
        <f t="shared" si="21"/>
        <v>5.4883093980606645E-06</v>
      </c>
      <c r="F54" s="13">
        <f t="shared" si="21"/>
        <v>5.48864045413211E-06</v>
      </c>
      <c r="G54" s="13">
        <f t="shared" si="21"/>
        <v>5.490426701726392E-06</v>
      </c>
      <c r="H54" s="13">
        <f t="shared" si="21"/>
        <v>5.490364856086671E-06</v>
      </c>
      <c r="I54" s="13">
        <f t="shared" si="21"/>
        <v>5.441688699647784E-06</v>
      </c>
      <c r="J54" s="13">
        <f t="shared" si="21"/>
        <v>4.9406080506742E-06</v>
      </c>
      <c r="K54" s="13">
        <f t="shared" si="21"/>
        <v>2.479981048963964E-06</v>
      </c>
      <c r="L54" s="13">
        <f t="shared" si="21"/>
        <v>-5.911293555982411E-06</v>
      </c>
      <c r="M54" s="13">
        <f t="shared" si="21"/>
        <v>-2.2948312107473612E-05</v>
      </c>
    </row>
    <row r="55" spans="5:9" ht="14.25" customHeight="1">
      <c r="E55" s="14"/>
      <c r="H55" s="15"/>
      <c r="I55" s="15"/>
    </row>
    <row r="56" spans="5:6" ht="14.25" customHeight="1">
      <c r="E56" s="15"/>
      <c r="F56" s="15"/>
    </row>
    <row r="57" ht="14.25" customHeight="1"/>
    <row r="58" ht="14.2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84" customWidth="1"/>
    <col min="2" max="2" width="49.28125" style="84" customWidth="1"/>
    <col min="3" max="12" width="9.7109375" style="84" customWidth="1"/>
    <col min="13" max="16384" width="11.421875" style="84" customWidth="1"/>
  </cols>
  <sheetData>
    <row r="1" ht="4.5" customHeight="1">
      <c r="B1" s="83"/>
    </row>
    <row r="2" ht="13.5" customHeight="1">
      <c r="B2" s="83" t="str">
        <f>+'[1]Financieros'!B2</f>
        <v>COMISION DE REGULACION DE COMUNICACIONES</v>
      </c>
    </row>
    <row r="3" ht="13.5" customHeight="1">
      <c r="B3" s="83" t="str">
        <f>+'[1]Financieros'!B3</f>
        <v>OPERADOR POSTAL</v>
      </c>
    </row>
    <row r="4" ht="4.5" customHeight="1">
      <c r="B4" s="83"/>
    </row>
    <row r="5" ht="13.5" customHeight="1">
      <c r="B5" s="85" t="s">
        <v>106</v>
      </c>
    </row>
    <row r="6" spans="2:38" ht="15.75">
      <c r="B6" s="70" t="s">
        <v>1</v>
      </c>
      <c r="C6" s="97">
        <f>+'[1]Financieros'!D7</f>
        <v>2010</v>
      </c>
      <c r="D6" s="97">
        <f>+'[1]Financieros'!E7</f>
        <v>2011</v>
      </c>
      <c r="E6" s="97">
        <f>+'[1]Financieros'!F7</f>
        <v>2012</v>
      </c>
      <c r="F6" s="97">
        <f>+'[1]Financieros'!G7</f>
        <v>2013</v>
      </c>
      <c r="G6" s="97">
        <f>+'[1]Financieros'!H7</f>
        <v>2014</v>
      </c>
      <c r="H6" s="97">
        <f>+'[1]Financieros'!I7</f>
        <v>2015</v>
      </c>
      <c r="I6" s="97">
        <f>+'[1]Financieros'!J7</f>
        <v>2016</v>
      </c>
      <c r="J6" s="97">
        <f>+'[1]Financieros'!K7</f>
        <v>2017</v>
      </c>
      <c r="K6" s="97">
        <f>+'[1]Financieros'!L7</f>
        <v>2018</v>
      </c>
      <c r="L6" s="97">
        <f>+'[1]Financieros'!M7</f>
        <v>2019</v>
      </c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2:38" ht="15.75">
      <c r="B7" s="112" t="s">
        <v>102</v>
      </c>
      <c r="C7" s="93">
        <f>'[1]Financieros'!$C$37+1</f>
        <v>6</v>
      </c>
      <c r="D7" s="93">
        <f>C7+1</f>
        <v>7</v>
      </c>
      <c r="E7" s="93">
        <f aca="true" t="shared" si="0" ref="E7:L7">D7+1</f>
        <v>8</v>
      </c>
      <c r="F7" s="93">
        <f t="shared" si="0"/>
        <v>9</v>
      </c>
      <c r="G7" s="93">
        <f t="shared" si="0"/>
        <v>10</v>
      </c>
      <c r="H7" s="93">
        <f t="shared" si="0"/>
        <v>11</v>
      </c>
      <c r="I7" s="93">
        <f t="shared" si="0"/>
        <v>12</v>
      </c>
      <c r="J7" s="93">
        <f t="shared" si="0"/>
        <v>13</v>
      </c>
      <c r="K7" s="93">
        <f t="shared" si="0"/>
        <v>14</v>
      </c>
      <c r="L7" s="93">
        <f t="shared" si="0"/>
        <v>15</v>
      </c>
      <c r="M7" s="94"/>
      <c r="N7" s="94"/>
      <c r="O7" s="94"/>
      <c r="P7" s="94"/>
      <c r="Q7" s="94"/>
      <c r="R7" s="94"/>
      <c r="S7" s="94"/>
      <c r="T7" s="94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2:38" ht="15.75">
      <c r="B8" s="113"/>
      <c r="C8" s="114">
        <f>IF(OR(C7=$C$46,C7=$C$46*2,C7=$C$46*3,C7=$C$46*4,C7=$C$46*5,C7=$C$46*6,C7=$C$46*7,C7=$C$46*8,C7=$C$46*9,C7=$C$46*10),'[1]Financieros'!$C$89,0)</f>
        <v>0</v>
      </c>
      <c r="D8" s="114">
        <f>IF(OR(D7=$C$46,D7=$C$46*2,D7=$C$46*3,D7=$C$46*4,D7=$C$46*5,D7=$C$46*6,D7=$C$46*7,D7=$C$46*8,D7=$C$46*9,D7=$C$46*10),'[1]Financieros'!$C$89,0)</f>
        <v>0</v>
      </c>
      <c r="E8" s="114">
        <f>IF(OR(E7=$C$46,E7=$C$46*2,E7=$C$46*3,E7=$C$46*4,E7=$C$46*5,E7=$C$46*6,E7=$C$46*7,E7=$C$46*8,E7=$C$46*9,E7=$C$46*10),'[1]Financieros'!$C$89,0)</f>
        <v>0</v>
      </c>
      <c r="F8" s="114">
        <f>IF(OR(F7=$C$46,F7=$C$46*2,F7=$C$46*3,F7=$C$46*4,F7=$C$46*5,F7=$C$46*6,F7=$C$46*7,F7=$C$46*8,F7=$C$46*9,F7=$C$46*10),'[1]Financieros'!$C$89,0)</f>
        <v>0</v>
      </c>
      <c r="G8" s="114">
        <f>IF(OR(G7=$C$46,G7=$C$46*2,G7=$C$46*3,G7=$C$46*4,G7=$C$46*5,G7=$C$46*6,G7=$C$46*7,G7=$C$46*8,G7=$C$46*9,G7=$C$46*10),'[1]Financieros'!$C$89,0)</f>
        <v>182.4</v>
      </c>
      <c r="H8" s="114">
        <f>IF(OR(H7=$C$46,H7=$C$46*2,H7=$C$46*3,H7=$C$46*4,H7=$C$46*5,H7=$C$46*6,H7=$C$46*7,H7=$C$46*8,H7=$C$46*9,H7=$C$46*10),'[1]Financieros'!$C$89,0)</f>
        <v>0</v>
      </c>
      <c r="I8" s="114">
        <f>IF(OR(I7=$C$46,I7=$C$46*2,I7=$C$46*3,I7=$C$46*4,I7=$C$46*5,I7=$C$46*6,I7=$C$46*7,I7=$C$46*8,I7=$C$46*9,I7=$C$46*10),'[1]Financieros'!$C$89,0)</f>
        <v>0</v>
      </c>
      <c r="J8" s="114">
        <f>IF(OR(J7=$C$46,J7=$C$46*2,J7=$C$46*3,J7=$C$46*4,J7=$C$46*5,J7=$C$46*6,J7=$C$46*7,J7=$C$46*8,J7=$C$46*9,J7=$C$46*10),'[1]Financieros'!$C$89,0)</f>
        <v>0</v>
      </c>
      <c r="K8" s="114">
        <f>IF(OR(K7=$C$46,K7=$C$46*2,K7=$C$46*3,K7=$C$46*4,K7=$C$46*5,K7=$C$46*6,K7=$C$46*7,K7=$C$46*8,K7=$C$46*9,K7=$C$46*10),'[1]Financieros'!$C$89,0)</f>
        <v>0</v>
      </c>
      <c r="L8" s="114">
        <f>IF(OR(L7=$C$46,L7=$C$46*2,L7=$C$46*3,L7=$C$46*4,L7=$C$46*5,L7=$C$46*6,L7=$C$46*7,L7=$C$46*8,L7=$C$46*9,L7=$C$46*10),'[1]Financieros'!$C$89,0)</f>
        <v>182.4</v>
      </c>
      <c r="M8" s="94"/>
      <c r="N8" s="94"/>
      <c r="O8" s="94"/>
      <c r="P8" s="94"/>
      <c r="Q8" s="94"/>
      <c r="R8" s="94"/>
      <c r="S8" s="94"/>
      <c r="T8" s="9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ht="4.5" customHeight="1">
      <c r="B9" s="105"/>
    </row>
    <row r="10" ht="15.75">
      <c r="B10" s="85" t="s">
        <v>107</v>
      </c>
    </row>
    <row r="11" spans="2:38" ht="15.75">
      <c r="B11" s="70" t="s">
        <v>1</v>
      </c>
      <c r="C11" s="97">
        <f>+'[1]Financieros'!D7</f>
        <v>2010</v>
      </c>
      <c r="D11" s="97">
        <f>+'[1]Financieros'!E7</f>
        <v>2011</v>
      </c>
      <c r="E11" s="97">
        <f>+'[1]Financieros'!F7</f>
        <v>2012</v>
      </c>
      <c r="F11" s="97">
        <f>+'[1]Financieros'!G7</f>
        <v>2013</v>
      </c>
      <c r="G11" s="97">
        <f>+'[1]Financieros'!H7</f>
        <v>2014</v>
      </c>
      <c r="H11" s="97">
        <f>+'[1]Financieros'!I7</f>
        <v>2015</v>
      </c>
      <c r="I11" s="97">
        <f>+'[1]Financieros'!J7</f>
        <v>2016</v>
      </c>
      <c r="J11" s="97">
        <f>+'[1]Financieros'!K7</f>
        <v>2017</v>
      </c>
      <c r="K11" s="97">
        <f>+'[1]Financieros'!L7</f>
        <v>2018</v>
      </c>
      <c r="L11" s="97">
        <f>+'[1]Financieros'!M7</f>
        <v>2019</v>
      </c>
      <c r="M11" s="91"/>
      <c r="N11" s="91"/>
      <c r="O11" s="91"/>
      <c r="P11" s="91"/>
      <c r="Q11" s="91"/>
      <c r="R11" s="91"/>
      <c r="S11" s="91"/>
      <c r="T11" s="91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</row>
    <row r="12" spans="2:38" ht="15.75">
      <c r="B12" s="111"/>
      <c r="C12" s="93">
        <f>'[1]Financieros'!D126</f>
        <v>0</v>
      </c>
      <c r="D12" s="93">
        <f>'[1]Financieros'!E126</f>
        <v>0</v>
      </c>
      <c r="E12" s="93">
        <f>'[1]Financieros'!F126</f>
        <v>0</v>
      </c>
      <c r="F12" s="93">
        <f>'[1]Financieros'!G126</f>
        <v>0</v>
      </c>
      <c r="G12" s="93">
        <f>'[1]Financieros'!H126</f>
        <v>0</v>
      </c>
      <c r="H12" s="93">
        <f>'[1]Financieros'!I126</f>
        <v>0</v>
      </c>
      <c r="I12" s="93">
        <f>'[1]Financieros'!J126</f>
        <v>0</v>
      </c>
      <c r="J12" s="93">
        <f>'[1]Financieros'!K126</f>
        <v>0</v>
      </c>
      <c r="K12" s="93">
        <f>'[1]Financieros'!L126</f>
        <v>0</v>
      </c>
      <c r="L12" s="93">
        <f>'[1]Financieros'!M126</f>
        <v>0</v>
      </c>
      <c r="M12" s="94"/>
      <c r="N12" s="94"/>
      <c r="O12" s="94"/>
      <c r="P12" s="94"/>
      <c r="Q12" s="94"/>
      <c r="R12" s="94"/>
      <c r="S12" s="94"/>
      <c r="T12" s="94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2:38" ht="15.75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94"/>
      <c r="N13" s="94"/>
      <c r="O13" s="94"/>
      <c r="P13" s="94"/>
      <c r="Q13" s="94"/>
      <c r="R13" s="94"/>
      <c r="S13" s="94"/>
      <c r="T13" s="94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</row>
    <row r="14" ht="4.5" customHeight="1">
      <c r="B14" s="105"/>
    </row>
    <row r="15" ht="15.75">
      <c r="B15" s="85" t="s">
        <v>108</v>
      </c>
    </row>
    <row r="16" spans="2:38" ht="15.75">
      <c r="B16" s="70" t="s">
        <v>1</v>
      </c>
      <c r="C16" s="70">
        <f>C11</f>
        <v>2010</v>
      </c>
      <c r="D16" s="70">
        <f aca="true" t="shared" si="1" ref="D16:L16">D11</f>
        <v>2011</v>
      </c>
      <c r="E16" s="70">
        <f t="shared" si="1"/>
        <v>2012</v>
      </c>
      <c r="F16" s="70">
        <f t="shared" si="1"/>
        <v>2013</v>
      </c>
      <c r="G16" s="70">
        <f t="shared" si="1"/>
        <v>2014</v>
      </c>
      <c r="H16" s="70">
        <f t="shared" si="1"/>
        <v>2015</v>
      </c>
      <c r="I16" s="70">
        <f t="shared" si="1"/>
        <v>2016</v>
      </c>
      <c r="J16" s="70">
        <f t="shared" si="1"/>
        <v>2017</v>
      </c>
      <c r="K16" s="70">
        <f t="shared" si="1"/>
        <v>2018</v>
      </c>
      <c r="L16" s="70">
        <f t="shared" si="1"/>
        <v>2019</v>
      </c>
      <c r="M16" s="91"/>
      <c r="N16" s="91"/>
      <c r="O16" s="91"/>
      <c r="P16" s="91"/>
      <c r="Q16" s="91"/>
      <c r="R16" s="91"/>
      <c r="S16" s="91"/>
      <c r="T16" s="91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:38" ht="15.75">
      <c r="B17" s="115"/>
      <c r="C17" s="93">
        <f aca="true" t="shared" si="2" ref="C17:L17">IF(OR(C16=$C$6+$C$46,C16=$C$6+$C$46*2,C16=$C$6+$C$46*3,C16=$C$6+$C$46*4,C16=$C$6+$C$46*5,C16=$C$6+$C$46*6),$C$12,0)</f>
        <v>0</v>
      </c>
      <c r="D17" s="93">
        <f t="shared" si="2"/>
        <v>0</v>
      </c>
      <c r="E17" s="93">
        <f t="shared" si="2"/>
        <v>0</v>
      </c>
      <c r="F17" s="93">
        <f t="shared" si="2"/>
        <v>0</v>
      </c>
      <c r="G17" s="93">
        <f t="shared" si="2"/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94"/>
      <c r="N17" s="94"/>
      <c r="O17" s="94"/>
      <c r="P17" s="94"/>
      <c r="Q17" s="94"/>
      <c r="R17" s="94"/>
      <c r="S17" s="94"/>
      <c r="T17" s="94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2:38" ht="15.75">
      <c r="B18" s="115"/>
      <c r="C18" s="93"/>
      <c r="D18" s="93">
        <f aca="true" t="shared" si="3" ref="D18:L18">IF(OR(D16=$D$6+$C$46,D16=$D$6+$C$46*2,D16=$D$6+$C$46*3,D16=$D$6+$C$46*4,D16=$D$6+$C$46*5,D16=$D$6+$C$46*6),$D$12,0)</f>
        <v>0</v>
      </c>
      <c r="E18" s="93">
        <f t="shared" si="3"/>
        <v>0</v>
      </c>
      <c r="F18" s="93">
        <f t="shared" si="3"/>
        <v>0</v>
      </c>
      <c r="G18" s="93">
        <f t="shared" si="3"/>
        <v>0</v>
      </c>
      <c r="H18" s="93">
        <f t="shared" si="3"/>
        <v>0</v>
      </c>
      <c r="I18" s="93">
        <f t="shared" si="3"/>
        <v>0</v>
      </c>
      <c r="J18" s="93">
        <f t="shared" si="3"/>
        <v>0</v>
      </c>
      <c r="K18" s="93">
        <f t="shared" si="3"/>
        <v>0</v>
      </c>
      <c r="L18" s="93">
        <f t="shared" si="3"/>
        <v>0</v>
      </c>
      <c r="M18" s="94"/>
      <c r="N18" s="94"/>
      <c r="O18" s="94"/>
      <c r="P18" s="94"/>
      <c r="Q18" s="94"/>
      <c r="R18" s="94"/>
      <c r="S18" s="94"/>
      <c r="T18" s="94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2:38" ht="15.75">
      <c r="B19" s="115"/>
      <c r="C19" s="93"/>
      <c r="D19" s="93"/>
      <c r="E19" s="93">
        <f aca="true" t="shared" si="4" ref="E19:L19">IF(OR(E16=$E$6+$C$46,E16=$E$6+$C$46*2,E16=$E$6+$C$46*3,E16=$E$6+$C$46*4,E16=$E$6+$C$46*5,E16=$E$6+$C$46*6),$E$12,0)</f>
        <v>0</v>
      </c>
      <c r="F19" s="93">
        <f t="shared" si="4"/>
        <v>0</v>
      </c>
      <c r="G19" s="93">
        <f t="shared" si="4"/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93">
        <f t="shared" si="4"/>
        <v>0</v>
      </c>
      <c r="L19" s="93">
        <f t="shared" si="4"/>
        <v>0</v>
      </c>
      <c r="M19" s="94"/>
      <c r="N19" s="94"/>
      <c r="O19" s="94"/>
      <c r="P19" s="94"/>
      <c r="Q19" s="94"/>
      <c r="R19" s="94"/>
      <c r="S19" s="94"/>
      <c r="T19" s="94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2:38" ht="15.75">
      <c r="B20" s="115"/>
      <c r="C20" s="93"/>
      <c r="D20" s="93"/>
      <c r="E20" s="93"/>
      <c r="F20" s="93">
        <f aca="true" t="shared" si="5" ref="F20:L20">IF(OR(F16=$F$6+$C$46,F16=$F$6+$C$46*2,F16=$F$6+$C$46*3,F16=$F$6+$C$46*4,F16=$F$6+$C$46*5,F16=$F$6+$C$46*6),$F$12,0)</f>
        <v>0</v>
      </c>
      <c r="G20" s="93">
        <f t="shared" si="5"/>
        <v>0</v>
      </c>
      <c r="H20" s="93">
        <f t="shared" si="5"/>
        <v>0</v>
      </c>
      <c r="I20" s="93">
        <f t="shared" si="5"/>
        <v>0</v>
      </c>
      <c r="J20" s="93">
        <f t="shared" si="5"/>
        <v>0</v>
      </c>
      <c r="K20" s="93">
        <f t="shared" si="5"/>
        <v>0</v>
      </c>
      <c r="L20" s="93">
        <f t="shared" si="5"/>
        <v>0</v>
      </c>
      <c r="M20" s="94"/>
      <c r="N20" s="94"/>
      <c r="O20" s="94"/>
      <c r="P20" s="94"/>
      <c r="Q20" s="94"/>
      <c r="R20" s="94"/>
      <c r="S20" s="94"/>
      <c r="T20" s="94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2:38" ht="15.75">
      <c r="B21" s="115"/>
      <c r="C21" s="93"/>
      <c r="D21" s="93"/>
      <c r="E21" s="93"/>
      <c r="F21" s="93"/>
      <c r="G21" s="93">
        <f aca="true" t="shared" si="6" ref="G21:L21">IF(OR(G16=$G$6+$C$46,G16=$G$6+$C$46*2,G16=$G$6+$C$46*3,G16=$G$6+$C$46*4,G16=$G$6+$C$46*5,G16=$G$6+$C$46*6),$G$12,0)</f>
        <v>0</v>
      </c>
      <c r="H21" s="93">
        <f t="shared" si="6"/>
        <v>0</v>
      </c>
      <c r="I21" s="93">
        <f t="shared" si="6"/>
        <v>0</v>
      </c>
      <c r="J21" s="93">
        <f t="shared" si="6"/>
        <v>0</v>
      </c>
      <c r="K21" s="93">
        <f t="shared" si="6"/>
        <v>0</v>
      </c>
      <c r="L21" s="93">
        <f t="shared" si="6"/>
        <v>0</v>
      </c>
      <c r="M21" s="94"/>
      <c r="N21" s="94"/>
      <c r="O21" s="94"/>
      <c r="P21" s="94"/>
      <c r="Q21" s="94"/>
      <c r="R21" s="94"/>
      <c r="S21" s="94"/>
      <c r="T21" s="94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</row>
    <row r="22" spans="2:38" ht="15.75">
      <c r="B22" s="115"/>
      <c r="C22" s="93"/>
      <c r="D22" s="93"/>
      <c r="E22" s="93"/>
      <c r="F22" s="93"/>
      <c r="G22" s="93"/>
      <c r="H22" s="93">
        <f>IF(OR(H16=$H$6+$C$46,H16=$H$6+$C$46*2,H16=$H$6+$C$46*3,H16=$H$6+$C$46*4,H16=$H$6+$C$46*5,H16=$H$6+$C$46*6),$H$12,0)</f>
        <v>0</v>
      </c>
      <c r="I22" s="93">
        <f>IF(OR(I16=$H$6+$C$46,I16=$H$6+$C$46*2,I16=$H$6+$C$46*3,I16=$H$6+$C$46*4,I16=$H$6+$C$46*5,I16=$H$6+$C$46*6),$H$12,0)</f>
        <v>0</v>
      </c>
      <c r="J22" s="93">
        <f>IF(OR(J16=$H$6+$C$46,J16=$H$6+$C$46*2,J16=$H$6+$C$46*3,J16=$H$6+$C$46*4,J16=$H$6+$C$46*5,J16=$H$6+$C$46*6),$H$12,0)</f>
        <v>0</v>
      </c>
      <c r="K22" s="93">
        <f>IF(OR(K16=$H$6+$C$46,K16=$H$6+$C$46*2,K16=$H$6+$C$46*3,K16=$H$6+$C$46*4,K16=$H$6+$C$46*5,K16=$H$6+$C$46*6),$H$12,0)</f>
        <v>0</v>
      </c>
      <c r="L22" s="93">
        <f>IF(OR(L16=$H$6+$C$46,L16=$H$6+$C$46*2,L16=$H$6+$C$46*3,L16=$H$6+$C$46*4,L16=$H$6+$C$46*5,L16=$H$6+$C$46*6),$H$12,0)</f>
        <v>0</v>
      </c>
      <c r="M22" s="94"/>
      <c r="N22" s="94"/>
      <c r="O22" s="94"/>
      <c r="P22" s="94"/>
      <c r="Q22" s="94"/>
      <c r="R22" s="94"/>
      <c r="S22" s="94"/>
      <c r="T22" s="94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</row>
    <row r="23" spans="2:38" ht="15.75">
      <c r="B23" s="115"/>
      <c r="C23" s="93"/>
      <c r="D23" s="93"/>
      <c r="E23" s="93"/>
      <c r="F23" s="93"/>
      <c r="G23" s="93"/>
      <c r="H23" s="93"/>
      <c r="I23" s="93">
        <f>IF(OR(I16=$I$6+$C$46,I16=$I$6+$C$46*2,I16=$I$6+$C$46*3,I16=$I$6+$C$46*4,I16=$I$6+$C$46*5,I16=$I$6+$C$46*6),$I$12,0)</f>
        <v>0</v>
      </c>
      <c r="J23" s="93">
        <f>IF(OR(J16=$I$6+$C$46,J16=$I$6+$C$46*2,J16=$I$6+$C$46*3,J16=$I$6+$C$46*4,J16=$I$6+$C$46*5,J16=$I$6+$C$46*6),$I$12,0)</f>
        <v>0</v>
      </c>
      <c r="K23" s="93">
        <f>IF(OR(K16=$I$6+$C$46,K16=$I$6+$C$46*2,K16=$I$6+$C$46*3,K16=$I$6+$C$46*4,K16=$I$6+$C$46*5,K16=$I$6+$C$46*6),$I$12,0)</f>
        <v>0</v>
      </c>
      <c r="L23" s="93">
        <f>IF(OR(L16=$I$6+$C$46,L16=$I$6+$C$46*2,L16=$I$6+$C$46*3,L16=$I$6+$C$46*4,L16=$I$6+$C$46*5,L16=$I$6+$C$46*6),$I$12,0)</f>
        <v>0</v>
      </c>
      <c r="M23" s="94"/>
      <c r="N23" s="94"/>
      <c r="O23" s="94"/>
      <c r="P23" s="94"/>
      <c r="Q23" s="94"/>
      <c r="R23" s="94"/>
      <c r="S23" s="94"/>
      <c r="T23" s="94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2:38" ht="15.75">
      <c r="B24" s="115"/>
      <c r="C24" s="93"/>
      <c r="D24" s="93"/>
      <c r="E24" s="93"/>
      <c r="F24" s="93"/>
      <c r="G24" s="93"/>
      <c r="H24" s="93"/>
      <c r="I24" s="93"/>
      <c r="J24" s="93">
        <f>IF(OR(J16=$J$6+$C$46,J16=$J$6+$C$46*2,J16=$J$6+$C$46*3,J16=$J$6+$C$46*4,J16=$J$6+$C$46*5,J16=$J$6+$C$46*6),$J$12,0)</f>
        <v>0</v>
      </c>
      <c r="K24" s="93">
        <f>IF(OR(K16=$J$6+$C$46,K16=$J$6+$C$46*2,K16=$J$6+$C$46*3,K16=$J$6+$C$46*4,K16=$J$6+$C$46*5,K16=$J$6+$C$46*6),$J$12,0)</f>
        <v>0</v>
      </c>
      <c r="L24" s="93">
        <f>IF(OR(L16=$J$6+$C$46,L16=$J$6+$C$46*2,L16=$J$6+$C$46*3,L16=$J$6+$C$46*4,L16=$J$6+$C$46*5,L16=$J$6+$C$46*6),$J$12,0)</f>
        <v>0</v>
      </c>
      <c r="M24" s="94"/>
      <c r="N24" s="94"/>
      <c r="O24" s="94"/>
      <c r="P24" s="94"/>
      <c r="Q24" s="94"/>
      <c r="R24" s="94"/>
      <c r="S24" s="94"/>
      <c r="T24" s="94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2:38" ht="15.75">
      <c r="B25" s="115"/>
      <c r="C25" s="93"/>
      <c r="D25" s="93"/>
      <c r="E25" s="93"/>
      <c r="F25" s="93"/>
      <c r="G25" s="93"/>
      <c r="H25" s="93"/>
      <c r="I25" s="93"/>
      <c r="J25" s="93"/>
      <c r="K25" s="93">
        <f>IF(OR(K16=$K$6+$C$46,K16=$K$6+$C$46*2,K16=$K$6+$C$46*3,K16=$K$6+$C$46*4,K16=$K$6+$C$46*5,K16=$K$6+$C$46*6),$K$12,0)</f>
        <v>0</v>
      </c>
      <c r="L25" s="93">
        <f>IF(OR(L16=$K$6+$C$46,L16=$K$6+$C$46*2,L16=$K$6+$C$46*3,L16=$K$6+$C$46*4,L16=$K$6+$C$46*5,L16=$K$6+$C$46*6),$K$12,0)</f>
        <v>0</v>
      </c>
      <c r="M25" s="94"/>
      <c r="N25" s="94"/>
      <c r="O25" s="94"/>
      <c r="P25" s="94"/>
      <c r="Q25" s="94"/>
      <c r="R25" s="94"/>
      <c r="S25" s="94"/>
      <c r="T25" s="94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2:38" ht="15.75">
      <c r="B26" s="115"/>
      <c r="C26" s="93"/>
      <c r="D26" s="93"/>
      <c r="E26" s="93"/>
      <c r="F26" s="93"/>
      <c r="G26" s="93"/>
      <c r="H26" s="93"/>
      <c r="I26" s="93"/>
      <c r="J26" s="93"/>
      <c r="K26" s="93"/>
      <c r="L26" s="93">
        <f>IF(OR(L16=$L$6+$C$46,L16=$L$6+$C$46*2,L16=$L$6+$C$46*3,L16=$L$6+$C$46*4,L16=$L$6+$C$46*5,L16=$L$6+$C$46*6),$L$12,0)</f>
        <v>0</v>
      </c>
      <c r="M26" s="94"/>
      <c r="N26" s="94"/>
      <c r="O26" s="94"/>
      <c r="P26" s="94"/>
      <c r="Q26" s="94"/>
      <c r="R26" s="94"/>
      <c r="S26" s="94"/>
      <c r="T26" s="94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2:38" ht="15.75">
      <c r="B27" s="11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4"/>
      <c r="O27" s="94"/>
      <c r="P27" s="94"/>
      <c r="Q27" s="94"/>
      <c r="R27" s="94"/>
      <c r="S27" s="94"/>
      <c r="T27" s="94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2:38" ht="15.75">
      <c r="B28" s="11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4"/>
      <c r="O28" s="94"/>
      <c r="P28" s="94"/>
      <c r="Q28" s="94"/>
      <c r="R28" s="94"/>
      <c r="S28" s="94"/>
      <c r="T28" s="94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2:38" ht="15.75">
      <c r="B29" s="115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94"/>
      <c r="O29" s="94"/>
      <c r="P29" s="94"/>
      <c r="Q29" s="94"/>
      <c r="R29" s="94"/>
      <c r="S29" s="94"/>
      <c r="T29" s="94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2:38" ht="15.75">
      <c r="B30" s="115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94"/>
      <c r="O30" s="94"/>
      <c r="P30" s="94"/>
      <c r="Q30" s="94"/>
      <c r="R30" s="94"/>
      <c r="S30" s="94"/>
      <c r="T30" s="94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2:38" ht="15.75">
      <c r="B31" s="115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94"/>
      <c r="O31" s="94"/>
      <c r="P31" s="94"/>
      <c r="Q31" s="94"/>
      <c r="R31" s="94"/>
      <c r="S31" s="94"/>
      <c r="T31" s="94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2:38" ht="15.75">
      <c r="B32" s="115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4"/>
      <c r="O32" s="94"/>
      <c r="P32" s="94"/>
      <c r="Q32" s="94"/>
      <c r="R32" s="94"/>
      <c r="S32" s="94"/>
      <c r="T32" s="94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2:38" ht="15.75">
      <c r="B33" s="115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94"/>
      <c r="O33" s="94"/>
      <c r="P33" s="94"/>
      <c r="Q33" s="94"/>
      <c r="R33" s="94"/>
      <c r="S33" s="94"/>
      <c r="T33" s="94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2:38" ht="15.75">
      <c r="B34" s="115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4"/>
      <c r="O34" s="94"/>
      <c r="P34" s="94"/>
      <c r="Q34" s="94"/>
      <c r="R34" s="94"/>
      <c r="S34" s="94"/>
      <c r="T34" s="94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2:38" ht="15.75">
      <c r="B35" s="115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4"/>
      <c r="O35" s="94"/>
      <c r="P35" s="94"/>
      <c r="Q35" s="94"/>
      <c r="R35" s="94"/>
      <c r="S35" s="94"/>
      <c r="T35" s="94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2:38" ht="15.75">
      <c r="B36" s="115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94"/>
      <c r="O36" s="94"/>
      <c r="P36" s="94"/>
      <c r="Q36" s="94"/>
      <c r="R36" s="94"/>
      <c r="S36" s="94"/>
      <c r="T36" s="94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ht="4.5" customHeight="1">
      <c r="B37" s="105"/>
    </row>
    <row r="38" ht="15.75">
      <c r="B38" s="85" t="s">
        <v>109</v>
      </c>
    </row>
    <row r="39" spans="2:12" ht="15.75">
      <c r="B39" s="70" t="s">
        <v>1</v>
      </c>
      <c r="C39" s="97">
        <f>+'[1]Financieros'!D7</f>
        <v>2010</v>
      </c>
      <c r="D39" s="97">
        <f>+'[1]Financieros'!E7</f>
        <v>2011</v>
      </c>
      <c r="E39" s="97">
        <f>+'[1]Financieros'!F7</f>
        <v>2012</v>
      </c>
      <c r="F39" s="97">
        <f>+'[1]Financieros'!G7</f>
        <v>2013</v>
      </c>
      <c r="G39" s="97">
        <f>+'[1]Financieros'!H7</f>
        <v>2014</v>
      </c>
      <c r="H39" s="97">
        <f>+'[1]Financieros'!I7</f>
        <v>2015</v>
      </c>
      <c r="I39" s="97">
        <f>+'[1]Financieros'!J7</f>
        <v>2016</v>
      </c>
      <c r="J39" s="97">
        <f>+'[1]Financieros'!K7</f>
        <v>2017</v>
      </c>
      <c r="K39" s="97">
        <f>+'[1]Financieros'!L7</f>
        <v>2018</v>
      </c>
      <c r="L39" s="97">
        <f>+'[1]Financieros'!M7</f>
        <v>2019</v>
      </c>
    </row>
    <row r="40" spans="2:12" ht="15.75">
      <c r="B40" s="115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 ht="15.75">
      <c r="B41" s="115"/>
      <c r="C41" s="93">
        <f>C8+C12+SUM(C17:C36)</f>
        <v>0</v>
      </c>
      <c r="D41" s="93">
        <f aca="true" t="shared" si="7" ref="D41:L41">D8+D12+SUM(D17:D36)</f>
        <v>0</v>
      </c>
      <c r="E41" s="93">
        <f t="shared" si="7"/>
        <v>0</v>
      </c>
      <c r="F41" s="93">
        <f t="shared" si="7"/>
        <v>0</v>
      </c>
      <c r="G41" s="93">
        <f t="shared" si="7"/>
        <v>182.4</v>
      </c>
      <c r="H41" s="93">
        <f t="shared" si="7"/>
        <v>0</v>
      </c>
      <c r="I41" s="93">
        <f t="shared" si="7"/>
        <v>0</v>
      </c>
      <c r="J41" s="93">
        <f t="shared" si="7"/>
        <v>0</v>
      </c>
      <c r="K41" s="93">
        <f t="shared" si="7"/>
        <v>0</v>
      </c>
      <c r="L41" s="93">
        <f t="shared" si="7"/>
        <v>182.4</v>
      </c>
    </row>
    <row r="42" spans="2:12" ht="15.75">
      <c r="B42" s="115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 ht="15.75">
      <c r="B43" s="138" t="s">
        <v>56</v>
      </c>
      <c r="C43" s="117">
        <f aca="true" t="shared" si="8" ref="C43:L43">SUM(C41:C42)</f>
        <v>0</v>
      </c>
      <c r="D43" s="117">
        <f t="shared" si="8"/>
        <v>0</v>
      </c>
      <c r="E43" s="117">
        <f t="shared" si="8"/>
        <v>0</v>
      </c>
      <c r="F43" s="117">
        <f t="shared" si="8"/>
        <v>0</v>
      </c>
      <c r="G43" s="117">
        <f t="shared" si="8"/>
        <v>182.4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17">
        <f t="shared" si="8"/>
        <v>182.4</v>
      </c>
    </row>
    <row r="44" spans="3:12" ht="4.5" customHeight="1"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 ht="15.75">
      <c r="B45" s="70" t="s">
        <v>57</v>
      </c>
      <c r="C45" s="70" t="s">
        <v>15</v>
      </c>
      <c r="D45" s="70" t="s">
        <v>105</v>
      </c>
      <c r="E45" s="96"/>
      <c r="F45" s="96"/>
      <c r="G45" s="96"/>
      <c r="H45" s="96"/>
      <c r="I45" s="96"/>
      <c r="J45" s="96"/>
      <c r="K45" s="96"/>
      <c r="L45" s="96"/>
    </row>
    <row r="46" spans="2:12" ht="15.75">
      <c r="B46" s="118" t="s">
        <v>178</v>
      </c>
      <c r="C46" s="131">
        <f>'[1]Financieros'!$C$38</f>
        <v>5</v>
      </c>
      <c r="D46" s="119">
        <f>1/+'[1]Financieros'!C38</f>
        <v>0.2</v>
      </c>
      <c r="E46" s="96"/>
      <c r="F46" s="96"/>
      <c r="G46" s="96"/>
      <c r="H46" s="96"/>
      <c r="I46" s="96"/>
      <c r="J46" s="96"/>
      <c r="K46" s="96"/>
      <c r="L46" s="96"/>
    </row>
    <row r="47" spans="3:12" ht="4.5" customHeight="1"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3" ht="15.75">
      <c r="B48" s="132" t="s">
        <v>58</v>
      </c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9"/>
    </row>
    <row r="49" spans="2:13" ht="15.75">
      <c r="B49" s="133" t="s">
        <v>6</v>
      </c>
      <c r="C49" s="133">
        <v>0</v>
      </c>
      <c r="D49" s="133">
        <v>1</v>
      </c>
      <c r="E49" s="133">
        <f aca="true" t="shared" si="9" ref="E49:M49">+D49+1</f>
        <v>2</v>
      </c>
      <c r="F49" s="133">
        <f t="shared" si="9"/>
        <v>3</v>
      </c>
      <c r="G49" s="133">
        <f t="shared" si="9"/>
        <v>4</v>
      </c>
      <c r="H49" s="133">
        <f t="shared" si="9"/>
        <v>5</v>
      </c>
      <c r="I49" s="133">
        <f t="shared" si="9"/>
        <v>6</v>
      </c>
      <c r="J49" s="133">
        <f t="shared" si="9"/>
        <v>7</v>
      </c>
      <c r="K49" s="133">
        <f t="shared" si="9"/>
        <v>8</v>
      </c>
      <c r="L49" s="133">
        <f t="shared" si="9"/>
        <v>9</v>
      </c>
      <c r="M49" s="133">
        <f t="shared" si="9"/>
        <v>10</v>
      </c>
    </row>
    <row r="50" spans="2:13" ht="15.75">
      <c r="B50" s="120">
        <v>1</v>
      </c>
      <c r="C50" s="93"/>
      <c r="D50" s="93">
        <f aca="true" t="shared" si="10" ref="D50:M50">IF(D$49&lt;=1/$D$46,$C43*$D$46,0)</f>
        <v>0</v>
      </c>
      <c r="E50" s="93">
        <f t="shared" si="10"/>
        <v>0</v>
      </c>
      <c r="F50" s="93">
        <f t="shared" si="10"/>
        <v>0</v>
      </c>
      <c r="G50" s="93">
        <f t="shared" si="10"/>
        <v>0</v>
      </c>
      <c r="H50" s="93">
        <f t="shared" si="10"/>
        <v>0</v>
      </c>
      <c r="I50" s="93">
        <f t="shared" si="10"/>
        <v>0</v>
      </c>
      <c r="J50" s="93">
        <f t="shared" si="10"/>
        <v>0</v>
      </c>
      <c r="K50" s="93">
        <f t="shared" si="10"/>
        <v>0</v>
      </c>
      <c r="L50" s="93">
        <f t="shared" si="10"/>
        <v>0</v>
      </c>
      <c r="M50" s="93">
        <f t="shared" si="10"/>
        <v>0</v>
      </c>
    </row>
    <row r="51" spans="2:13" ht="15.75">
      <c r="B51" s="120">
        <f>+B50+1</f>
        <v>2</v>
      </c>
      <c r="C51" s="93"/>
      <c r="D51" s="93"/>
      <c r="E51" s="93">
        <f aca="true" t="shared" si="11" ref="E51:M51">IF(E$49-1&lt;=1/$D$46,$D43*$D$46,0)</f>
        <v>0</v>
      </c>
      <c r="F51" s="93">
        <f t="shared" si="11"/>
        <v>0</v>
      </c>
      <c r="G51" s="93">
        <f t="shared" si="11"/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3">
        <f t="shared" si="11"/>
        <v>0</v>
      </c>
      <c r="L51" s="93">
        <f t="shared" si="11"/>
        <v>0</v>
      </c>
      <c r="M51" s="93">
        <f t="shared" si="11"/>
        <v>0</v>
      </c>
    </row>
    <row r="52" spans="2:13" ht="15.75">
      <c r="B52" s="120">
        <f aca="true" t="shared" si="12" ref="B52:B67">+B51+1</f>
        <v>3</v>
      </c>
      <c r="C52" s="93"/>
      <c r="D52" s="93"/>
      <c r="E52" s="93"/>
      <c r="F52" s="93">
        <f aca="true" t="shared" si="13" ref="F52:M52">IF(F$49-2&lt;=1/$D$46,$E43*$D$46,0)</f>
        <v>0</v>
      </c>
      <c r="G52" s="93">
        <f t="shared" si="13"/>
        <v>0</v>
      </c>
      <c r="H52" s="93">
        <f t="shared" si="13"/>
        <v>0</v>
      </c>
      <c r="I52" s="93">
        <f t="shared" si="13"/>
        <v>0</v>
      </c>
      <c r="J52" s="93">
        <f t="shared" si="13"/>
        <v>0</v>
      </c>
      <c r="K52" s="93">
        <f t="shared" si="13"/>
        <v>0</v>
      </c>
      <c r="L52" s="93">
        <f t="shared" si="13"/>
        <v>0</v>
      </c>
      <c r="M52" s="93">
        <f t="shared" si="13"/>
        <v>0</v>
      </c>
    </row>
    <row r="53" spans="2:13" ht="15.75">
      <c r="B53" s="120">
        <f t="shared" si="12"/>
        <v>4</v>
      </c>
      <c r="C53" s="93"/>
      <c r="D53" s="93"/>
      <c r="E53" s="93"/>
      <c r="F53" s="93"/>
      <c r="G53" s="93">
        <f aca="true" t="shared" si="14" ref="G53:M53">IF(G$49-3&lt;=1/$D$46,$F43*$D$46,0)</f>
        <v>0</v>
      </c>
      <c r="H53" s="93">
        <f t="shared" si="14"/>
        <v>0</v>
      </c>
      <c r="I53" s="93">
        <f t="shared" si="14"/>
        <v>0</v>
      </c>
      <c r="J53" s="93">
        <f t="shared" si="14"/>
        <v>0</v>
      </c>
      <c r="K53" s="93">
        <f t="shared" si="14"/>
        <v>0</v>
      </c>
      <c r="L53" s="93">
        <f t="shared" si="14"/>
        <v>0</v>
      </c>
      <c r="M53" s="93">
        <f t="shared" si="14"/>
        <v>0</v>
      </c>
    </row>
    <row r="54" spans="2:13" ht="15.75">
      <c r="B54" s="120">
        <f t="shared" si="12"/>
        <v>5</v>
      </c>
      <c r="C54" s="93"/>
      <c r="D54" s="93"/>
      <c r="E54" s="93"/>
      <c r="F54" s="93"/>
      <c r="G54" s="93"/>
      <c r="H54" s="93">
        <f aca="true" t="shared" si="15" ref="H54:M54">IF(H$49-4&lt;=1/$D$46,$G43*$D$46,0)</f>
        <v>36.480000000000004</v>
      </c>
      <c r="I54" s="93">
        <f t="shared" si="15"/>
        <v>36.480000000000004</v>
      </c>
      <c r="J54" s="93">
        <f t="shared" si="15"/>
        <v>36.480000000000004</v>
      </c>
      <c r="K54" s="93">
        <f t="shared" si="15"/>
        <v>36.480000000000004</v>
      </c>
      <c r="L54" s="93">
        <f t="shared" si="15"/>
        <v>36.480000000000004</v>
      </c>
      <c r="M54" s="93">
        <f t="shared" si="15"/>
        <v>0</v>
      </c>
    </row>
    <row r="55" spans="2:13" ht="15.75">
      <c r="B55" s="120">
        <f t="shared" si="12"/>
        <v>6</v>
      </c>
      <c r="C55" s="93"/>
      <c r="D55" s="93"/>
      <c r="E55" s="93"/>
      <c r="F55" s="93"/>
      <c r="G55" s="93"/>
      <c r="H55" s="93"/>
      <c r="I55" s="93">
        <f>IF(I$49-5&lt;=1/$D$46,$H43*$D$46,0)</f>
        <v>0</v>
      </c>
      <c r="J55" s="93">
        <f>IF(J$49-5&lt;=1/$D$46,$H43*$D$46,0)</f>
        <v>0</v>
      </c>
      <c r="K55" s="93">
        <f>IF(K$49-5&lt;=1/$D$46,$H43*$D$46,0)</f>
        <v>0</v>
      </c>
      <c r="L55" s="93">
        <f>IF(L$49-5&lt;=1/$D$46,$H43*$D$46,0)</f>
        <v>0</v>
      </c>
      <c r="M55" s="93">
        <f>IF(M$49-5&lt;=1/$D$46,$H43*$D$46,0)</f>
        <v>0</v>
      </c>
    </row>
    <row r="56" spans="2:13" ht="15.75">
      <c r="B56" s="120">
        <f t="shared" si="12"/>
        <v>7</v>
      </c>
      <c r="C56" s="93"/>
      <c r="D56" s="93"/>
      <c r="E56" s="93"/>
      <c r="F56" s="93"/>
      <c r="G56" s="93"/>
      <c r="H56" s="93"/>
      <c r="I56" s="93"/>
      <c r="J56" s="93">
        <f>IF(J$49-6&lt;=1/$D$46,$I43*$D$46,0)</f>
        <v>0</v>
      </c>
      <c r="K56" s="93">
        <f>IF(K$49-6&lt;=1/$D$46,$I43*$D$46,0)</f>
        <v>0</v>
      </c>
      <c r="L56" s="93">
        <f>IF(L$49-6&lt;=1/$D$46,$I43*$D$46,0)</f>
        <v>0</v>
      </c>
      <c r="M56" s="93">
        <f>IF(M$49-6&lt;=1/$D$46,$I43*$D$46,0)</f>
        <v>0</v>
      </c>
    </row>
    <row r="57" spans="2:13" ht="15.75">
      <c r="B57" s="120">
        <f t="shared" si="12"/>
        <v>8</v>
      </c>
      <c r="C57" s="93"/>
      <c r="D57" s="93"/>
      <c r="E57" s="93"/>
      <c r="F57" s="93"/>
      <c r="G57" s="93"/>
      <c r="H57" s="93"/>
      <c r="I57" s="93"/>
      <c r="J57" s="93"/>
      <c r="K57" s="93">
        <f>IF(K$49-7&lt;=1/$D$46,$J43*$D$46,0)</f>
        <v>0</v>
      </c>
      <c r="L57" s="93">
        <f>IF(L$49-7&lt;=1/$D$46,$J43*$D$46,0)</f>
        <v>0</v>
      </c>
      <c r="M57" s="93">
        <f>IF(M$49-7&lt;=1/$D$46,$J43*$D$46,0)</f>
        <v>0</v>
      </c>
    </row>
    <row r="58" spans="2:13" ht="15.75">
      <c r="B58" s="120">
        <f t="shared" si="12"/>
        <v>9</v>
      </c>
      <c r="C58" s="93"/>
      <c r="D58" s="93"/>
      <c r="E58" s="93"/>
      <c r="F58" s="93"/>
      <c r="G58" s="93"/>
      <c r="H58" s="93"/>
      <c r="I58" s="93"/>
      <c r="J58" s="93"/>
      <c r="K58" s="93"/>
      <c r="L58" s="93">
        <f>IF(L$49-8&lt;=1/$D$46,$K43*$D$46,0)</f>
        <v>0</v>
      </c>
      <c r="M58" s="93">
        <f>IF(M$49-8&lt;=1/$D$46,$K43*$D$46,0)</f>
        <v>0</v>
      </c>
    </row>
    <row r="59" spans="2:13" ht="15.75">
      <c r="B59" s="120">
        <f t="shared" si="12"/>
        <v>10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>
        <f>IF(M$49-8&lt;=1/$D$46,$K44*$D$46,0)</f>
        <v>0</v>
      </c>
    </row>
    <row r="60" spans="2:13" ht="15.75">
      <c r="B60" s="120">
        <f t="shared" si="12"/>
        <v>11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 ht="15.75">
      <c r="B61" s="120">
        <f t="shared" si="12"/>
        <v>12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2:13" ht="15.75">
      <c r="B62" s="120">
        <f t="shared" si="12"/>
        <v>13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2:13" ht="15.75">
      <c r="B63" s="120">
        <f t="shared" si="12"/>
        <v>14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2:13" ht="15.75">
      <c r="B64" s="120">
        <f t="shared" si="12"/>
        <v>15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 ht="15.75">
      <c r="B65" s="120">
        <f t="shared" si="12"/>
        <v>16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 ht="15.75">
      <c r="B66" s="120">
        <f t="shared" si="12"/>
        <v>17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 ht="15.75">
      <c r="B67" s="120">
        <f t="shared" si="12"/>
        <v>18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 ht="15.75">
      <c r="B68" s="120">
        <f>+B67+1</f>
        <v>19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 ht="15.75">
      <c r="B69" s="120">
        <f>+B68+1</f>
        <v>20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 ht="15.75">
      <c r="B70" s="132" t="s">
        <v>7</v>
      </c>
      <c r="C70" s="134">
        <f>SUM(C50:C69)</f>
        <v>0</v>
      </c>
      <c r="D70" s="134">
        <f aca="true" t="shared" si="16" ref="D70:L70">SUM(D50:D69)</f>
        <v>0</v>
      </c>
      <c r="E70" s="134">
        <f t="shared" si="16"/>
        <v>0</v>
      </c>
      <c r="F70" s="134">
        <f t="shared" si="16"/>
        <v>0</v>
      </c>
      <c r="G70" s="134">
        <f t="shared" si="16"/>
        <v>0</v>
      </c>
      <c r="H70" s="134">
        <f t="shared" si="16"/>
        <v>36.480000000000004</v>
      </c>
      <c r="I70" s="134">
        <f t="shared" si="16"/>
        <v>36.480000000000004</v>
      </c>
      <c r="J70" s="134">
        <f t="shared" si="16"/>
        <v>36.480000000000004</v>
      </c>
      <c r="K70" s="134">
        <f t="shared" si="16"/>
        <v>36.480000000000004</v>
      </c>
      <c r="L70" s="134">
        <f t="shared" si="16"/>
        <v>36.480000000000004</v>
      </c>
      <c r="M70" s="134">
        <f>SUM(M50:M69)</f>
        <v>0</v>
      </c>
    </row>
    <row r="71" spans="2:13" ht="15.7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2"/>
    </row>
  </sheetData>
  <sheetProtection/>
  <mergeCells count="1">
    <mergeCell ref="C48:M48"/>
  </mergeCells>
  <printOptions/>
  <pageMargins left="0.75" right="0.75" top="1" bottom="1" header="0" footer="0"/>
  <pageSetup orientation="portrait" paperSize="9"/>
  <ignoredErrors>
    <ignoredError sqref="C7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M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84" customWidth="1"/>
    <col min="2" max="2" width="50.7109375" style="84" bestFit="1" customWidth="1"/>
    <col min="3" max="12" width="11.57421875" style="84" customWidth="1"/>
    <col min="13" max="16384" width="11.421875" style="84" customWidth="1"/>
  </cols>
  <sheetData>
    <row r="1" ht="4.5" customHeight="1">
      <c r="B1" s="105"/>
    </row>
    <row r="2" ht="15.75">
      <c r="B2" s="83" t="str">
        <f>+'[1]Financieros'!B2</f>
        <v>COMISION DE REGULACION DE COMUNICACIONES</v>
      </c>
    </row>
    <row r="3" ht="15.75">
      <c r="B3" s="83" t="str">
        <f>+'[1]Financieros'!B3</f>
        <v>OPERADOR POSTAL</v>
      </c>
    </row>
    <row r="4" spans="2:3" ht="15.75">
      <c r="B4" s="83" t="s">
        <v>70</v>
      </c>
      <c r="C4" s="96"/>
    </row>
    <row r="5" ht="15.75">
      <c r="B5" s="85" t="str">
        <f>+Balance!B5</f>
        <v> (Millones de Pesos)</v>
      </c>
    </row>
    <row r="6" ht="4.5" customHeight="1">
      <c r="B6" s="85"/>
    </row>
    <row r="7" spans="2:12" ht="19.5" customHeight="1">
      <c r="B7" s="70" t="s">
        <v>71</v>
      </c>
      <c r="C7" s="97">
        <f>+'[1]Financieros'!D7</f>
        <v>2010</v>
      </c>
      <c r="D7" s="97">
        <f>+'[1]Financieros'!E7</f>
        <v>2011</v>
      </c>
      <c r="E7" s="97">
        <f>+'[1]Financieros'!F7</f>
        <v>2012</v>
      </c>
      <c r="F7" s="97">
        <f>+'[1]Financieros'!G7</f>
        <v>2013</v>
      </c>
      <c r="G7" s="97">
        <f>+'[1]Financieros'!H7</f>
        <v>2014</v>
      </c>
      <c r="H7" s="97">
        <f>+'[1]Financieros'!I7</f>
        <v>2015</v>
      </c>
      <c r="I7" s="97">
        <f>+'[1]Financieros'!J7</f>
        <v>2016</v>
      </c>
      <c r="J7" s="97">
        <f>+'[1]Financieros'!K7</f>
        <v>2017</v>
      </c>
      <c r="K7" s="97">
        <f>+'[1]Financieros'!L7</f>
        <v>2018</v>
      </c>
      <c r="L7" s="97">
        <f>+'[1]Financieros'!M7</f>
        <v>2019</v>
      </c>
    </row>
    <row r="8" spans="2:13" ht="19.5" customHeight="1">
      <c r="B8" s="104" t="s">
        <v>73</v>
      </c>
      <c r="C8" s="130">
        <f>IF('[1]Financieros'!$C$58=0,0,(Balance!D13+Balance!D23)*'[1]Financieros'!D12)</f>
        <v>0</v>
      </c>
      <c r="D8" s="130">
        <f>IF('[1]Financieros'!$C$58=0,0,(Balance!E13+Balance!E23)*'[1]Financieros'!E12)</f>
        <v>0</v>
      </c>
      <c r="E8" s="130">
        <f>IF('[1]Financieros'!$C$58=0,0,(Balance!F13+Balance!F23)*'[1]Financieros'!F12)</f>
        <v>0</v>
      </c>
      <c r="F8" s="130">
        <f>IF('[1]Financieros'!$C$58=0,0,(Balance!G13+Balance!G23)*'[1]Financieros'!G12)</f>
        <v>0</v>
      </c>
      <c r="G8" s="130">
        <f>IF('[1]Financieros'!$C$58=0,0,(Balance!H13+Balance!H23)*'[1]Financieros'!H12)</f>
        <v>0</v>
      </c>
      <c r="H8" s="130">
        <f>IF('[1]Financieros'!$C$58=0,0,(Balance!I13+Balance!I23)*'[1]Financieros'!I12)</f>
        <v>0</v>
      </c>
      <c r="I8" s="130">
        <f>IF('[1]Financieros'!$C$58=0,0,(Balance!J13+Balance!J23)*'[1]Financieros'!J12)</f>
        <v>0</v>
      </c>
      <c r="J8" s="130">
        <f>IF('[1]Financieros'!$C$58=0,0,(Balance!K13+Balance!K23)*'[1]Financieros'!K12)</f>
        <v>0</v>
      </c>
      <c r="K8" s="130">
        <f>IF('[1]Financieros'!$C$58=0,0,(Balance!L13+Balance!L23)*'[1]Financieros'!L12)</f>
        <v>0</v>
      </c>
      <c r="L8" s="130">
        <f>IF('[1]Financieros'!$C$58=0,0,(Balance!M13+Balance!M23)*'[1]Financieros'!M12)</f>
        <v>0</v>
      </c>
      <c r="M8" s="96"/>
    </row>
    <row r="9" spans="2:13" ht="19.5" customHeight="1">
      <c r="B9" s="104" t="s">
        <v>74</v>
      </c>
      <c r="C9" s="130">
        <f>IF('[1]Financieros'!$C$58=0,0,(Balance!D41+Balance!D42+Balance!D44)*'[1]Financieros'!D12)</f>
        <v>0</v>
      </c>
      <c r="D9" s="130">
        <f>IF('[1]Financieros'!$C$58=0,0,(Balance!E41+Balance!E42+Balance!E44)*'[1]Financieros'!E12)</f>
        <v>0</v>
      </c>
      <c r="E9" s="130">
        <f>IF('[1]Financieros'!$C$58=0,0,(Balance!F41+Balance!F42+Balance!F44)*'[1]Financieros'!F12)</f>
        <v>0</v>
      </c>
      <c r="F9" s="130">
        <f>IF('[1]Financieros'!$C$58=0,0,(Balance!G41+Balance!G42+Balance!G44)*'[1]Financieros'!G12)</f>
        <v>0</v>
      </c>
      <c r="G9" s="130">
        <f>IF('[1]Financieros'!$C$58=0,0,(Balance!H41+Balance!H42+Balance!H44)*'[1]Financieros'!H12)</f>
        <v>0</v>
      </c>
      <c r="H9" s="130">
        <f>IF('[1]Financieros'!$C$58=0,0,(Balance!I41+Balance!I42+Balance!I44)*'[1]Financieros'!I12)</f>
        <v>0</v>
      </c>
      <c r="I9" s="130">
        <f>IF('[1]Financieros'!$C$58=0,0,(Balance!J41+Balance!J42+Balance!J44)*'[1]Financieros'!J12)</f>
        <v>0</v>
      </c>
      <c r="J9" s="130">
        <f>IF('[1]Financieros'!$C$58=0,0,(Balance!K41+Balance!K42+Balance!K44)*'[1]Financieros'!K12)</f>
        <v>0</v>
      </c>
      <c r="K9" s="130">
        <f>IF('[1]Financieros'!$C$58=0,0,(Balance!L41+Balance!L42+Balance!L44)*'[1]Financieros'!L12)</f>
        <v>0</v>
      </c>
      <c r="L9" s="130">
        <f>IF('[1]Financieros'!$C$58=0,0,(Balance!M41+Balance!M42+Balance!M44)*'[1]Financieros'!M12)</f>
        <v>0</v>
      </c>
      <c r="M9" s="96"/>
    </row>
    <row r="10" spans="2:13" ht="19.5" customHeight="1">
      <c r="B10" s="104" t="s">
        <v>75</v>
      </c>
      <c r="C10" s="130">
        <f>+'P y G'!C47</f>
        <v>4245.343235117773</v>
      </c>
      <c r="D10" s="130">
        <f>+'P y G'!D47</f>
        <v>5319.1004955604785</v>
      </c>
      <c r="E10" s="130">
        <f>+'P y G'!E47</f>
        <v>6514.273472953231</v>
      </c>
      <c r="F10" s="130">
        <f>+'P y G'!F47</f>
        <v>7835.032761928045</v>
      </c>
      <c r="G10" s="130">
        <f>+'P y G'!G47</f>
        <v>8861.311679845036</v>
      </c>
      <c r="H10" s="130">
        <f>+'P y G'!H47</f>
        <v>9313.380485323702</v>
      </c>
      <c r="I10" s="130">
        <f>+'P y G'!I47</f>
        <v>9371.3363973359</v>
      </c>
      <c r="J10" s="130">
        <f>+'P y G'!J47</f>
        <v>9370.382989099984</v>
      </c>
      <c r="K10" s="130">
        <f>+'P y G'!K47</f>
        <v>9302.557798540136</v>
      </c>
      <c r="L10" s="130">
        <f>+'P y G'!L47</f>
        <v>9130.104155544414</v>
      </c>
      <c r="M10" s="96"/>
    </row>
    <row r="11" spans="2:13" ht="19.5" customHeight="1">
      <c r="B11" s="104" t="s">
        <v>76</v>
      </c>
      <c r="C11" s="130">
        <f aca="true" t="shared" si="0" ref="C11:L11">+C10+C8-C9</f>
        <v>4245.343235117773</v>
      </c>
      <c r="D11" s="130">
        <f t="shared" si="0"/>
        <v>5319.1004955604785</v>
      </c>
      <c r="E11" s="130">
        <f t="shared" si="0"/>
        <v>6514.273472953231</v>
      </c>
      <c r="F11" s="130">
        <f t="shared" si="0"/>
        <v>7835.032761928045</v>
      </c>
      <c r="G11" s="130">
        <f t="shared" si="0"/>
        <v>8861.311679845036</v>
      </c>
      <c r="H11" s="130">
        <f t="shared" si="0"/>
        <v>9313.380485323702</v>
      </c>
      <c r="I11" s="130">
        <f t="shared" si="0"/>
        <v>9371.3363973359</v>
      </c>
      <c r="J11" s="130">
        <f t="shared" si="0"/>
        <v>9370.382989099984</v>
      </c>
      <c r="K11" s="130">
        <f t="shared" si="0"/>
        <v>9302.557798540136</v>
      </c>
      <c r="L11" s="130">
        <f t="shared" si="0"/>
        <v>9130.104155544414</v>
      </c>
      <c r="M11" s="96"/>
    </row>
    <row r="12" spans="2:13" ht="19.5" customHeight="1">
      <c r="B12" s="104" t="s">
        <v>77</v>
      </c>
      <c r="C12" s="130">
        <v>0</v>
      </c>
      <c r="D12" s="130">
        <f aca="true" t="shared" si="1" ref="D12:L12">IF(D11&gt;0,IF(D11&lt;-C13,-D11,C13),0)</f>
        <v>0</v>
      </c>
      <c r="E12" s="130">
        <f t="shared" si="1"/>
        <v>0</v>
      </c>
      <c r="F12" s="130">
        <f t="shared" si="1"/>
        <v>0</v>
      </c>
      <c r="G12" s="130">
        <f t="shared" si="1"/>
        <v>0</v>
      </c>
      <c r="H12" s="130">
        <f t="shared" si="1"/>
        <v>0</v>
      </c>
      <c r="I12" s="130">
        <f t="shared" si="1"/>
        <v>0</v>
      </c>
      <c r="J12" s="130">
        <f t="shared" si="1"/>
        <v>0</v>
      </c>
      <c r="K12" s="130">
        <f t="shared" si="1"/>
        <v>0</v>
      </c>
      <c r="L12" s="130">
        <f t="shared" si="1"/>
        <v>0</v>
      </c>
      <c r="M12" s="96"/>
    </row>
    <row r="13" spans="2:13" ht="19.5" customHeight="1">
      <c r="B13" s="104" t="s">
        <v>78</v>
      </c>
      <c r="C13" s="130">
        <f>IF(C11&lt;0,+C11,0)</f>
        <v>0</v>
      </c>
      <c r="D13" s="130">
        <f aca="true" t="shared" si="2" ref="D13:L13">IF(D11&gt;0,C13-D12,C13+D11)</f>
        <v>0</v>
      </c>
      <c r="E13" s="130">
        <f t="shared" si="2"/>
        <v>0</v>
      </c>
      <c r="F13" s="130">
        <f t="shared" si="2"/>
        <v>0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  <c r="M13" s="96"/>
    </row>
    <row r="14" spans="2:13" ht="19.5" customHeight="1">
      <c r="B14" s="104" t="s">
        <v>184</v>
      </c>
      <c r="C14" s="130">
        <f>+C11+C12</f>
        <v>4245.343235117773</v>
      </c>
      <c r="D14" s="130">
        <f>+D11+D12</f>
        <v>5319.1004955604785</v>
      </c>
      <c r="E14" s="130">
        <f aca="true" t="shared" si="3" ref="E14:L14">+E11+E12</f>
        <v>6514.273472953231</v>
      </c>
      <c r="F14" s="130">
        <f t="shared" si="3"/>
        <v>7835.032761928045</v>
      </c>
      <c r="G14" s="130">
        <f t="shared" si="3"/>
        <v>8861.311679845036</v>
      </c>
      <c r="H14" s="130">
        <f t="shared" si="3"/>
        <v>9313.380485323702</v>
      </c>
      <c r="I14" s="130">
        <f t="shared" si="3"/>
        <v>9371.3363973359</v>
      </c>
      <c r="J14" s="130">
        <f t="shared" si="3"/>
        <v>9370.382989099984</v>
      </c>
      <c r="K14" s="130">
        <f t="shared" si="3"/>
        <v>9302.557798540136</v>
      </c>
      <c r="L14" s="130">
        <f t="shared" si="3"/>
        <v>9130.104155544414</v>
      </c>
      <c r="M14" s="96"/>
    </row>
    <row r="15" spans="2:13" ht="19.5" customHeight="1">
      <c r="B15" s="104" t="s">
        <v>185</v>
      </c>
      <c r="C15" s="130">
        <f>('Flujo de Caja'!D30+'Flujo de Caja'!D31)*'[1]Financieros'!$C$55</f>
        <v>-0.06009094269689142</v>
      </c>
      <c r="D15" s="130">
        <f>('Flujo de Caja'!E30+'Flujo de Caja'!E31)*'[1]Financieros'!$C$56</f>
        <v>0</v>
      </c>
      <c r="E15" s="130">
        <f>('Flujo de Caja'!F30+'Flujo de Caja'!F31)*'[1]Financieros'!$C$56</f>
        <v>0</v>
      </c>
      <c r="F15" s="130">
        <f>('Flujo de Caja'!G30+'Flujo de Caja'!G31)*'[1]Financieros'!$C$56</f>
        <v>0</v>
      </c>
      <c r="G15" s="130">
        <f>('Flujo de Caja'!H30+'Flujo de Caja'!H31)*'[1]Financieros'!$C$56</f>
        <v>0</v>
      </c>
      <c r="H15" s="130">
        <f>('Flujo de Caja'!I30+'Flujo de Caja'!I31)*'[1]Financieros'!$C$56</f>
        <v>0</v>
      </c>
      <c r="I15" s="130">
        <f>('Flujo de Caja'!J30+'Flujo de Caja'!J31)*'[1]Financieros'!$C$56</f>
        <v>0</v>
      </c>
      <c r="J15" s="130">
        <f>('Flujo de Caja'!K30+'Flujo de Caja'!K31)*'[1]Financieros'!$C$56</f>
        <v>0</v>
      </c>
      <c r="K15" s="130">
        <f>('Flujo de Caja'!L30+'Flujo de Caja'!L31)*'[1]Financieros'!$C$56</f>
        <v>0</v>
      </c>
      <c r="L15" s="130">
        <f>('Flujo de Caja'!M30+'Flujo de Caja'!M31)*'[1]Financieros'!$C$56</f>
        <v>0</v>
      </c>
      <c r="M15" s="96"/>
    </row>
    <row r="16" spans="2:13" ht="19.5" customHeight="1">
      <c r="B16" s="104" t="s">
        <v>79</v>
      </c>
      <c r="C16" s="130">
        <f>+C14-C15</f>
        <v>4245.403326060469</v>
      </c>
      <c r="D16" s="130">
        <f aca="true" t="shared" si="4" ref="D16:L16">+D14-D15</f>
        <v>5319.1004955604785</v>
      </c>
      <c r="E16" s="130">
        <f t="shared" si="4"/>
        <v>6514.273472953231</v>
      </c>
      <c r="F16" s="130">
        <f t="shared" si="4"/>
        <v>7835.032761928045</v>
      </c>
      <c r="G16" s="130">
        <f t="shared" si="4"/>
        <v>8861.311679845036</v>
      </c>
      <c r="H16" s="130">
        <f t="shared" si="4"/>
        <v>9313.380485323702</v>
      </c>
      <c r="I16" s="130">
        <f t="shared" si="4"/>
        <v>9371.3363973359</v>
      </c>
      <c r="J16" s="130">
        <f t="shared" si="4"/>
        <v>9370.382989099984</v>
      </c>
      <c r="K16" s="130">
        <f t="shared" si="4"/>
        <v>9302.557798540136</v>
      </c>
      <c r="L16" s="130">
        <f t="shared" si="4"/>
        <v>9130.104155544414</v>
      </c>
      <c r="M16" s="96"/>
    </row>
    <row r="17" spans="2:13" ht="19.5" customHeight="1">
      <c r="B17" s="104" t="s">
        <v>72</v>
      </c>
      <c r="C17" s="130">
        <f>+Balance!C40*'[1]Financieros'!$C$54</f>
        <v>457.58017924247525</v>
      </c>
      <c r="D17" s="130">
        <f>+Balance!D40*'[1]Financieros'!$C$54</f>
        <v>628.2417874935443</v>
      </c>
      <c r="E17" s="130">
        <f>+Balance!E40*'[1]Financieros'!$C$54</f>
        <v>842.0696274150758</v>
      </c>
      <c r="F17" s="130">
        <f>+Balance!F40*'[1]Financieros'!$C$54</f>
        <v>1103.943421027793</v>
      </c>
      <c r="G17" s="130">
        <f>+Balance!G40*'[1]Financieros'!$C$54</f>
        <v>1418.9117380572932</v>
      </c>
      <c r="H17" s="130">
        <f>+Balance!H40*'[1]Financieros'!$C$54</f>
        <v>1775.1364675869622</v>
      </c>
      <c r="I17" s="130">
        <f>+Balance!I40*'[1]Financieros'!$C$54</f>
        <v>2149.534363096008</v>
      </c>
      <c r="J17" s="130">
        <f>+Balance!J40*'[1]Financieros'!$C$54</f>
        <v>2526.2620862660856</v>
      </c>
      <c r="K17" s="130">
        <f>+Balance!K40*'[1]Financieros'!$C$54</f>
        <v>2902.951482423169</v>
      </c>
      <c r="L17" s="130">
        <f>+Balance!L40*'[1]Financieros'!$C$54</f>
        <v>3276.914305950947</v>
      </c>
      <c r="M17" s="96"/>
    </row>
    <row r="18" spans="2:13" ht="19.5" customHeight="1">
      <c r="B18" s="104" t="s">
        <v>80</v>
      </c>
      <c r="C18" s="130">
        <f>IF(C16&lt;0,0,C16*'[1]Financieros'!$C$53)</f>
        <v>1400.9830975999548</v>
      </c>
      <c r="D18" s="130">
        <f>IF(D16&lt;0,0,D16*'[1]Financieros'!$C$53)</f>
        <v>1755.303163534958</v>
      </c>
      <c r="E18" s="130">
        <f>IF(E16&lt;0,0,E16*'[1]Financieros'!$C$53)</f>
        <v>2149.7102460745664</v>
      </c>
      <c r="F18" s="130">
        <f>IF(F16&lt;0,0,F16*'[1]Financieros'!$C$53)</f>
        <v>2585.560811436255</v>
      </c>
      <c r="G18" s="130">
        <f>IF(G16&lt;0,0,G16*'[1]Financieros'!$C$53)</f>
        <v>2924.232854348862</v>
      </c>
      <c r="H18" s="130">
        <f>IF(H16&lt;0,0,H16*'[1]Financieros'!$C$53)</f>
        <v>3073.415560156822</v>
      </c>
      <c r="I18" s="130">
        <f>IF(I16&lt;0,0,I16*'[1]Financieros'!$C$53)</f>
        <v>3092.541011120847</v>
      </c>
      <c r="J18" s="130">
        <f>IF(J16&lt;0,0,J16*'[1]Financieros'!$C$53)</f>
        <v>3092.226386402995</v>
      </c>
      <c r="K18" s="130">
        <f>IF(K16&lt;0,0,K16*'[1]Financieros'!$C$53)</f>
        <v>3069.844073518245</v>
      </c>
      <c r="L18" s="130">
        <f>IF(L16&lt;0,0,L16*'[1]Financieros'!$C$53)</f>
        <v>3012.9343713296566</v>
      </c>
      <c r="M18" s="96"/>
    </row>
    <row r="19" spans="2:13" ht="19.5" customHeight="1">
      <c r="B19" s="104" t="s">
        <v>81</v>
      </c>
      <c r="C19" s="130">
        <f>IF(C17&lt;0,0,IF((C17+C12)&lt;0,0,'[1]Financieros'!$C$53*(C17+C12)))</f>
        <v>151.00145915001684</v>
      </c>
      <c r="D19" s="130">
        <f>IF(D17&lt;0,0,IF((D17+D12)&lt;0,0,'[1]Financieros'!$C$53*(D17+D12)))</f>
        <v>207.31978987286962</v>
      </c>
      <c r="E19" s="130">
        <f>IF(E17&lt;0,0,IF((E17+E12)&lt;0,0,'[1]Financieros'!$C$53*(E17+E12)))</f>
        <v>277.88297704697504</v>
      </c>
      <c r="F19" s="130">
        <f>IF(F17&lt;0,0,IF((F17+F12)&lt;0,0,'[1]Financieros'!$C$53*(F17+F12)))</f>
        <v>364.3013289391717</v>
      </c>
      <c r="G19" s="130">
        <f>IF(G17&lt;0,0,IF((G17+G12)&lt;0,0,'[1]Financieros'!$C$53*(G17+G12)))</f>
        <v>468.2408735589068</v>
      </c>
      <c r="H19" s="130">
        <f>IF(H17&lt;0,0,IF((H17+H12)&lt;0,0,'[1]Financieros'!$C$53*(H17+H12)))</f>
        <v>585.7950343036975</v>
      </c>
      <c r="I19" s="130">
        <f>IF(I17&lt;0,0,IF((I17+I12)&lt;0,0,'[1]Financieros'!$C$53*(I17+I12)))</f>
        <v>709.3463398216826</v>
      </c>
      <c r="J19" s="130">
        <f>IF(J17&lt;0,0,IF((J17+J12)&lt;0,0,'[1]Financieros'!$C$53*(J17+J12)))</f>
        <v>833.6664884678083</v>
      </c>
      <c r="K19" s="130">
        <f>IF(K17&lt;0,0,IF((K17+K12)&lt;0,0,'[1]Financieros'!$C$53*(K17+K12)))</f>
        <v>957.9739891996459</v>
      </c>
      <c r="L19" s="130">
        <f>IF(L17&lt;0,0,L17*'[1]Financieros'!$C$53)</f>
        <v>1081.3817209638125</v>
      </c>
      <c r="M19" s="96"/>
    </row>
    <row r="20" spans="2:13" ht="19.5" customHeight="1">
      <c r="B20" s="135" t="s">
        <v>82</v>
      </c>
      <c r="C20" s="135">
        <f>IF(C18&gt;C19,C18,C19)</f>
        <v>1400.9830975999548</v>
      </c>
      <c r="D20" s="135">
        <f>IF(D18&gt;D19,D18,D19)</f>
        <v>1755.303163534958</v>
      </c>
      <c r="E20" s="135">
        <f aca="true" t="shared" si="5" ref="E20:L20">IF(E18&gt;E19,E18,E19)</f>
        <v>2149.7102460745664</v>
      </c>
      <c r="F20" s="135">
        <f t="shared" si="5"/>
        <v>2585.560811436255</v>
      </c>
      <c r="G20" s="135">
        <f t="shared" si="5"/>
        <v>2924.232854348862</v>
      </c>
      <c r="H20" s="135">
        <f t="shared" si="5"/>
        <v>3073.415560156822</v>
      </c>
      <c r="I20" s="135">
        <f t="shared" si="5"/>
        <v>3092.541011120847</v>
      </c>
      <c r="J20" s="135">
        <f t="shared" si="5"/>
        <v>3092.226386402995</v>
      </c>
      <c r="K20" s="135">
        <f t="shared" si="5"/>
        <v>3069.844073518245</v>
      </c>
      <c r="L20" s="135">
        <f t="shared" si="5"/>
        <v>3012.9343713296566</v>
      </c>
      <c r="M20" s="96"/>
    </row>
    <row r="21" spans="3:13" ht="15.75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</sheetData>
  <sheetProtection/>
  <printOptions/>
  <pageMargins left="0.53" right="0.52" top="0.984251968503937" bottom="0.984251968503937" header="0.5118110236220472" footer="0.5118110236220472"/>
  <pageSetup orientation="landscape" paperSize="9" scale="70" r:id="rId1"/>
  <headerFooter alignWithMargins="0">
    <oddHeader>&amp;C&amp;A</oddHeader>
    <oddFooter>&amp;CPágina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P99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1.7109375" style="2" customWidth="1"/>
    <col min="2" max="2" width="45.28125" style="2" customWidth="1"/>
    <col min="3" max="3" width="12.140625" style="2" customWidth="1"/>
    <col min="4" max="5" width="12.7109375" style="2" bestFit="1" customWidth="1"/>
    <col min="6" max="10" width="11.57421875" style="2" bestFit="1" customWidth="1"/>
    <col min="11" max="12" width="11.57421875" style="2" customWidth="1"/>
    <col min="13" max="13" width="14.7109375" style="2" bestFit="1" customWidth="1"/>
    <col min="14" max="16384" width="11.421875" style="2" customWidth="1"/>
  </cols>
  <sheetData>
    <row r="1" spans="2:7" ht="4.5" customHeight="1">
      <c r="B1" s="1"/>
      <c r="C1" s="1"/>
      <c r="D1" s="1"/>
      <c r="E1" s="1"/>
      <c r="F1" s="1"/>
      <c r="G1" s="1"/>
    </row>
    <row r="2" spans="2:7" ht="15" customHeight="1">
      <c r="B2" s="1" t="str">
        <f>+'[1]Financieros'!$B$2</f>
        <v>COMISION DE REGULACION DE COMUNICACIONES</v>
      </c>
      <c r="C2" s="1"/>
      <c r="D2" s="1"/>
      <c r="E2" s="1"/>
      <c r="F2" s="1"/>
      <c r="G2" s="1"/>
    </row>
    <row r="3" spans="2:7" ht="15" customHeight="1">
      <c r="B3" s="1" t="str">
        <f>+'[1]Financieros'!$B$3</f>
        <v>OPERADOR POSTAL</v>
      </c>
      <c r="C3" s="1"/>
      <c r="D3" s="1"/>
      <c r="E3" s="1"/>
      <c r="F3" s="1"/>
      <c r="G3" s="1"/>
    </row>
    <row r="4" spans="2:7" ht="15" customHeight="1">
      <c r="B4" s="16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4" s="1"/>
      <c r="D4" s="1"/>
      <c r="E4" s="1"/>
      <c r="F4" s="1"/>
      <c r="G4" s="1"/>
    </row>
    <row r="5" spans="2:7" ht="15" customHeight="1">
      <c r="B5" s="1" t="s">
        <v>120</v>
      </c>
      <c r="C5" s="1"/>
      <c r="D5" s="1"/>
      <c r="E5" s="1"/>
      <c r="F5" s="1"/>
      <c r="G5" s="1"/>
    </row>
    <row r="6" spans="2:7" ht="15.75">
      <c r="B6" s="16" t="s">
        <v>66</v>
      </c>
      <c r="C6" s="155"/>
      <c r="D6" s="1"/>
      <c r="E6" s="1"/>
      <c r="F6" s="1"/>
      <c r="G6" s="1"/>
    </row>
    <row r="7" spans="2:7" ht="4.5" customHeight="1">
      <c r="B7" s="1"/>
      <c r="C7" s="1"/>
      <c r="D7" s="1"/>
      <c r="E7" s="1"/>
      <c r="F7" s="1"/>
      <c r="G7" s="1"/>
    </row>
    <row r="8" spans="2:12" ht="15.75">
      <c r="B8" s="53" t="s">
        <v>47</v>
      </c>
      <c r="C8" s="54">
        <f>+Balance!D7</f>
        <v>2010</v>
      </c>
      <c r="D8" s="54">
        <f>+Balance!E7</f>
        <v>2011</v>
      </c>
      <c r="E8" s="54">
        <f>+Balance!F7</f>
        <v>2012</v>
      </c>
      <c r="F8" s="54">
        <f>+Balance!G7</f>
        <v>2013</v>
      </c>
      <c r="G8" s="54">
        <f>+Balance!H7</f>
        <v>2014</v>
      </c>
      <c r="H8" s="54">
        <f>+Balance!I7</f>
        <v>2015</v>
      </c>
      <c r="I8" s="54">
        <f>+Balance!J7</f>
        <v>2016</v>
      </c>
      <c r="J8" s="54">
        <f>+Balance!K7</f>
        <v>2017</v>
      </c>
      <c r="K8" s="54">
        <f>+Balance!L7</f>
        <v>2018</v>
      </c>
      <c r="L8" s="54">
        <f>+Balance!M7</f>
        <v>2019</v>
      </c>
    </row>
    <row r="9" spans="2:68" ht="15.75">
      <c r="B9" s="56" t="s">
        <v>48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2:68" ht="15.75">
      <c r="B10" s="45" t="s">
        <v>121</v>
      </c>
      <c r="C10" s="55">
        <f>+SUM(C11:C13)</f>
        <v>44449.65851857987</v>
      </c>
      <c r="D10" s="55">
        <f aca="true" t="shared" si="0" ref="D10:L10">+SUM(D11:D13)</f>
        <v>47366.85077461957</v>
      </c>
      <c r="E10" s="55">
        <f t="shared" si="0"/>
        <v>50478.88534051669</v>
      </c>
      <c r="F10" s="55">
        <f t="shared" si="0"/>
        <v>53798.805916931706</v>
      </c>
      <c r="G10" s="55">
        <f t="shared" si="0"/>
        <v>57340.52980137811</v>
      </c>
      <c r="H10" s="55">
        <f t="shared" si="0"/>
        <v>59605.561738604236</v>
      </c>
      <c r="I10" s="55">
        <f t="shared" si="0"/>
        <v>61961.50141300083</v>
      </c>
      <c r="J10" s="55">
        <f t="shared" si="0"/>
        <v>64412.002059231054</v>
      </c>
      <c r="K10" s="55">
        <f t="shared" si="0"/>
        <v>66960.8637588355</v>
      </c>
      <c r="L10" s="55">
        <f t="shared" si="0"/>
        <v>69612.03934349187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2:68" ht="15.75">
      <c r="B11" s="20" t="s">
        <v>257</v>
      </c>
      <c r="C11" s="4">
        <f>+'[2]Demanda'!D43</f>
        <v>43366.28660231339</v>
      </c>
      <c r="D11" s="4">
        <f>+'[2]Demanda'!E43</f>
        <v>46271.44783629142</v>
      </c>
      <c r="E11" s="4">
        <f>+'[2]Demanda'!F43</f>
        <v>49371.22941839397</v>
      </c>
      <c r="F11" s="4">
        <f>+'[2]Demanda'!G43</f>
        <v>52678.66920671337</v>
      </c>
      <c r="G11" s="4">
        <f>+'[2]Demanda'!H43</f>
        <v>56207.67848159865</v>
      </c>
      <c r="H11" s="4">
        <f>+'[2]Demanda'!I43</f>
        <v>58467.37903255257</v>
      </c>
      <c r="I11" s="4">
        <f>+'[2]Demanda'!J43</f>
        <v>60817.92565148017</v>
      </c>
      <c r="J11" s="4">
        <f>+'[2]Demanda'!K43</f>
        <v>63262.97059578464</v>
      </c>
      <c r="K11" s="4">
        <f>+'[2]Demanda'!L43</f>
        <v>65806.31295348541</v>
      </c>
      <c r="L11" s="4">
        <f>+'[2]Demanda'!M43</f>
        <v>68451.9045462056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2:68" ht="15.75">
      <c r="B12" s="20" t="s">
        <v>186</v>
      </c>
      <c r="C12" s="4">
        <f>+'[2]Demanda'!D44</f>
        <v>1083.3719162664759</v>
      </c>
      <c r="D12" s="4">
        <f>+'[2]Demanda'!E44</f>
        <v>1095.4029383281436</v>
      </c>
      <c r="E12" s="4">
        <f>+'[2]Demanda'!F44</f>
        <v>1107.655922122723</v>
      </c>
      <c r="F12" s="4">
        <f>+'[2]Demanda'!G44</f>
        <v>1120.1367102183333</v>
      </c>
      <c r="G12" s="4">
        <f>+'[2]Demanda'!H44</f>
        <v>1132.8513197794616</v>
      </c>
      <c r="H12" s="4">
        <f>+'[2]Demanda'!I44</f>
        <v>1138.1827060516662</v>
      </c>
      <c r="I12" s="4">
        <f>+'[2]Demanda'!J44</f>
        <v>1143.5757615206617</v>
      </c>
      <c r="J12" s="4">
        <f>+'[2]Demanda'!K44</f>
        <v>1149.0314634464178</v>
      </c>
      <c r="K12" s="4">
        <f>+'[2]Demanda'!L44</f>
        <v>1154.550805350092</v>
      </c>
      <c r="L12" s="4">
        <f>+'[2]Demanda'!M44</f>
        <v>1160.1347972862723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2:68" ht="15.75" hidden="1"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2:7" ht="4.5" customHeight="1">
      <c r="B14" s="1"/>
      <c r="C14" s="1"/>
      <c r="D14" s="1"/>
      <c r="E14" s="1"/>
      <c r="F14" s="1"/>
      <c r="G14" s="1"/>
    </row>
    <row r="15" spans="2:68" ht="15.75">
      <c r="B15" s="45" t="s">
        <v>122</v>
      </c>
      <c r="C15" s="55">
        <f aca="true" t="shared" si="1" ref="C15:L15">SUM(C17:C27)+C28+C32+C33+C34</f>
        <v>37301.59192140113</v>
      </c>
      <c r="D15" s="55">
        <f t="shared" si="1"/>
        <v>39325.97728475873</v>
      </c>
      <c r="E15" s="55">
        <f t="shared" si="1"/>
        <v>41457.34369118419</v>
      </c>
      <c r="F15" s="55">
        <f t="shared" si="1"/>
        <v>43714.74570584749</v>
      </c>
      <c r="G15" s="55">
        <f t="shared" si="1"/>
        <v>46488.44163438386</v>
      </c>
      <c r="H15" s="55">
        <f t="shared" si="1"/>
        <v>48590.51326887691</v>
      </c>
      <c r="I15" s="55">
        <f t="shared" si="1"/>
        <v>51232.694597320144</v>
      </c>
      <c r="J15" s="55">
        <f t="shared" si="1"/>
        <v>54029.36904263276</v>
      </c>
      <c r="K15" s="55">
        <f t="shared" si="1"/>
        <v>56989.589107035754</v>
      </c>
      <c r="L15" s="55">
        <f t="shared" si="1"/>
        <v>60086.45843405765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2:68" ht="15.75">
      <c r="B16" s="140" t="s">
        <v>187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2:68" ht="15.75">
      <c r="B17" s="139" t="s">
        <v>188</v>
      </c>
      <c r="C17" s="4">
        <f>IF('[1]Tablero de Control'!$B$7='[1]Tablero de Control'!$S$7,'[2]Admisión'!D209,IF('[1]Tablero de Control'!$B$7='[1]Tablero de Control'!$S$8,'[2]Admisión'!D221,IF('[1]Tablero de Control'!$B$7='[1]Tablero de Control'!$S$9,'[2]Admisión'!D226,0)))</f>
        <v>6097.79664</v>
      </c>
      <c r="D17" s="4">
        <f>IF('[1]Tablero de Control'!$B$7='[1]Tablero de Control'!$S$7,'[2]Admisión'!E209,IF('[1]Tablero de Control'!$B$7='[1]Tablero de Control'!$S$8,'[2]Admisión'!E221,IF('[1]Tablero de Control'!$B$7='[1]Tablero de Control'!$S$9,'[2]Admisión'!E226,0)))</f>
        <v>6463.372642721504</v>
      </c>
      <c r="E17" s="4">
        <f>IF('[1]Tablero de Control'!$B$7='[1]Tablero de Control'!$S$7,'[2]Admisión'!F209,IF('[1]Tablero de Control'!$B$7='[1]Tablero de Control'!$S$8,'[2]Admisión'!F221,IF('[1]Tablero de Control'!$B$7='[1]Tablero de Control'!$S$9,'[2]Admisión'!F226,0)))</f>
        <v>6850.871516495941</v>
      </c>
      <c r="F17" s="4">
        <f>IF('[1]Tablero de Control'!$B$7='[1]Tablero de Control'!$S$7,'[2]Admisión'!G209,IF('[1]Tablero de Control'!$B$7='[1]Tablero de Control'!$S$8,'[2]Admisión'!G221,IF('[1]Tablero de Control'!$B$7='[1]Tablero de Control'!$S$9,'[2]Admisión'!G226,0)))</f>
        <v>7261.60816524485</v>
      </c>
      <c r="G17" s="4">
        <f>IF('[1]Tablero de Control'!$B$7='[1]Tablero de Control'!$S$7,'[2]Admisión'!H209,IF('[1]Tablero de Control'!$B$7='[1]Tablero de Control'!$S$8,'[2]Admisión'!H221,IF('[1]Tablero de Control'!$B$7='[1]Tablero de Control'!$S$9,'[2]Admisión'!H226,0)))</f>
        <v>7696.976368356462</v>
      </c>
      <c r="H17" s="4">
        <f>IF('[1]Tablero de Control'!$B$7='[1]Tablero de Control'!$S$7,'[2]Admisión'!I209,IF('[1]Tablero de Control'!$B$7='[1]Tablero de Control'!$S$8,'[2]Admisión'!I221,IF('[1]Tablero de Control'!$B$7='[1]Tablero de Control'!$S$9,'[2]Admisión'!I226,0)))</f>
        <v>8158.453508800213</v>
      </c>
      <c r="I17" s="4">
        <f>IF('[1]Tablero de Control'!$B$7='[1]Tablero de Control'!$S$7,'[2]Admisión'!J209,IF('[1]Tablero de Control'!$B$7='[1]Tablero de Control'!$S$8,'[2]Admisión'!J221,IF('[1]Tablero de Control'!$B$7='[1]Tablero de Control'!$S$9,'[2]Admisión'!J226,0)))</f>
        <v>8647.605599323719</v>
      </c>
      <c r="J17" s="4">
        <f>IF('[1]Tablero de Control'!$B$7='[1]Tablero de Control'!$S$7,'[2]Admisión'!K209,IF('[1]Tablero de Control'!$B$7='[1]Tablero de Control'!$S$8,'[2]Admisión'!K221,IF('[1]Tablero de Control'!$B$7='[1]Tablero de Control'!$S$9,'[2]Admisión'!K226,0)))</f>
        <v>9166.092588866828</v>
      </c>
      <c r="K17" s="4">
        <f>IF('[1]Tablero de Control'!$B$7='[1]Tablero de Control'!$S$7,'[2]Admisión'!L209,IF('[1]Tablero de Control'!$B$7='[1]Tablero de Control'!$S$8,'[2]Admisión'!L221,IF('[1]Tablero de Control'!$B$7='[1]Tablero de Control'!$S$9,'[2]Admisión'!L226,0)))</f>
        <v>9715.67400134128</v>
      </c>
      <c r="L17" s="4">
        <f>IF('[1]Tablero de Control'!$B$7='[1]Tablero de Control'!$S$7,'[2]Admisión'!M209,IF('[1]Tablero de Control'!$B$7='[1]Tablero de Control'!$S$8,'[2]Admisión'!M221,IF('[1]Tablero de Control'!$B$7='[1]Tablero de Control'!$S$9,'[2]Admisión'!M226,0)))</f>
        <v>10298.21490924851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2:68" ht="15.75">
      <c r="B18" s="139" t="s">
        <v>189</v>
      </c>
      <c r="C18" s="4">
        <f>IF('[1]Tablero de Control'!$B$7='[1]Tablero de Control'!$S$7,'[2]Admisión'!D217,IF('[1]Tablero de Control'!$B$7='[1]Tablero de Control'!$S$8,'[2]Admisión'!D222,IF('[1]Tablero de Control'!$B$7='[1]Tablero de Control'!$S$9,'[2]Admisión'!D227,0)))</f>
        <v>2604.9</v>
      </c>
      <c r="D18" s="4">
        <f>IF('[1]Tablero de Control'!$B$7='[1]Tablero de Control'!$S$7,'[2]Admisión'!E217,IF('[1]Tablero de Control'!$B$7='[1]Tablero de Control'!$S$8,'[2]Admisión'!E222,IF('[1]Tablero de Control'!$B$7='[1]Tablero de Control'!$S$9,'[2]Admisión'!E227,0)))</f>
        <v>2604.9</v>
      </c>
      <c r="E18" s="4">
        <f>IF('[1]Tablero de Control'!$B$7='[1]Tablero de Control'!$S$7,'[2]Admisión'!F217,IF('[1]Tablero de Control'!$B$7='[1]Tablero de Control'!$S$8,'[2]Admisión'!F222,IF('[1]Tablero de Control'!$B$7='[1]Tablero de Control'!$S$9,'[2]Admisión'!F227,0)))</f>
        <v>2604.9</v>
      </c>
      <c r="F18" s="4">
        <f>IF('[1]Tablero de Control'!$B$7='[1]Tablero de Control'!$S$7,'[2]Admisión'!G217,IF('[1]Tablero de Control'!$B$7='[1]Tablero de Control'!$S$8,'[2]Admisión'!G222,IF('[1]Tablero de Control'!$B$7='[1]Tablero de Control'!$S$9,'[2]Admisión'!G227,0)))</f>
        <v>2604.9</v>
      </c>
      <c r="G18" s="4">
        <f>IF('[1]Tablero de Control'!$B$7='[1]Tablero de Control'!$S$7,'[2]Admisión'!H217,IF('[1]Tablero de Control'!$B$7='[1]Tablero de Control'!$S$8,'[2]Admisión'!H222,IF('[1]Tablero de Control'!$B$7='[1]Tablero de Control'!$S$9,'[2]Admisión'!H227,0)))</f>
        <v>2604.9</v>
      </c>
      <c r="H18" s="4">
        <f>IF('[1]Tablero de Control'!$B$7='[1]Tablero de Control'!$S$7,'[2]Admisión'!I217,IF('[1]Tablero de Control'!$B$7='[1]Tablero de Control'!$S$8,'[2]Admisión'!I222,IF('[1]Tablero de Control'!$B$7='[1]Tablero de Control'!$S$9,'[2]Admisión'!I227,0)))</f>
        <v>2604.9</v>
      </c>
      <c r="I18" s="4">
        <f>IF('[1]Tablero de Control'!$B$7='[1]Tablero de Control'!$S$7,'[2]Admisión'!J217,IF('[1]Tablero de Control'!$B$7='[1]Tablero de Control'!$S$8,'[2]Admisión'!J222,IF('[1]Tablero de Control'!$B$7='[1]Tablero de Control'!$S$9,'[2]Admisión'!J227,0)))</f>
        <v>2604.9</v>
      </c>
      <c r="J18" s="4">
        <f>IF('[1]Tablero de Control'!$B$7='[1]Tablero de Control'!$S$7,'[2]Admisión'!K217,IF('[1]Tablero de Control'!$B$7='[1]Tablero de Control'!$S$8,'[2]Admisión'!K222,IF('[1]Tablero de Control'!$B$7='[1]Tablero de Control'!$S$9,'[2]Admisión'!K227,0)))</f>
        <v>2604.9</v>
      </c>
      <c r="K18" s="4">
        <f>IF('[1]Tablero de Control'!$B$7='[1]Tablero de Control'!$S$7,'[2]Admisión'!L217,IF('[1]Tablero de Control'!$B$7='[1]Tablero de Control'!$S$8,'[2]Admisión'!L222,IF('[1]Tablero de Control'!$B$7='[1]Tablero de Control'!$S$9,'[2]Admisión'!L227,0)))</f>
        <v>2604.9</v>
      </c>
      <c r="L18" s="4">
        <f>IF('[1]Tablero de Control'!$B$7='[1]Tablero de Control'!$S$7,'[2]Admisión'!M217,IF('[1]Tablero de Control'!$B$7='[1]Tablero de Control'!$S$8,'[2]Admisión'!M222,IF('[1]Tablero de Control'!$B$7='[1]Tablero de Control'!$S$9,'[2]Admisión'!M227,0)))</f>
        <v>2604.9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2:68" ht="15.75">
      <c r="B19" s="140" t="s">
        <v>190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2:68" ht="15.75">
      <c r="B20" s="139" t="s">
        <v>188</v>
      </c>
      <c r="C20" s="4">
        <f>+'[2]Clasificación'!D66</f>
        <v>1474.6877054053693</v>
      </c>
      <c r="D20" s="4">
        <f>+'[2]Clasificación'!E66</f>
        <v>1546.6886338709214</v>
      </c>
      <c r="E20" s="4">
        <f>+'[2]Clasificación'!F66</f>
        <v>1622.7964125360986</v>
      </c>
      <c r="F20" s="4">
        <f>+'[2]Clasificación'!G66</f>
        <v>1703.2457834392476</v>
      </c>
      <c r="G20" s="4">
        <f>+'[2]Clasificación'!H66</f>
        <v>1788.2849293596496</v>
      </c>
      <c r="H20" s="4">
        <f>+'[2]Clasificación'!I66</f>
        <v>1878.1762437729035</v>
      </c>
      <c r="I20" s="4">
        <f>+'[2]Clasificación'!J66</f>
        <v>1973.197148009071</v>
      </c>
      <c r="J20" s="4">
        <f>+'[2]Clasificación'!K66</f>
        <v>2073.640950899389</v>
      </c>
      <c r="K20" s="4">
        <f>+'[2]Clasificación'!L66</f>
        <v>2179.817760701336</v>
      </c>
      <c r="L20" s="4">
        <f>+'[2]Clasificación'!M66</f>
        <v>2292.0554486727724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2:68" ht="15.75">
      <c r="B21" s="139" t="s">
        <v>189</v>
      </c>
      <c r="C21" s="4">
        <f>+'[2]Clasificación'!D67</f>
        <v>0</v>
      </c>
      <c r="D21" s="4">
        <f>+'[2]Clasificación'!E67</f>
        <v>0</v>
      </c>
      <c r="E21" s="4">
        <f>+'[2]Clasificación'!F67</f>
        <v>0</v>
      </c>
      <c r="F21" s="4">
        <f>+'[2]Clasificación'!G67</f>
        <v>0</v>
      </c>
      <c r="G21" s="4">
        <f>+'[2]Clasificación'!H67</f>
        <v>0</v>
      </c>
      <c r="H21" s="4">
        <f>+'[2]Clasificación'!I67</f>
        <v>0</v>
      </c>
      <c r="I21" s="4">
        <f>+'[2]Clasificación'!J67</f>
        <v>0</v>
      </c>
      <c r="J21" s="4">
        <f>+'[2]Clasificación'!K67</f>
        <v>0</v>
      </c>
      <c r="K21" s="4">
        <f>+'[2]Clasificación'!L67</f>
        <v>0</v>
      </c>
      <c r="L21" s="4">
        <f>+'[2]Clasificación'!M67</f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2:68" ht="15.75">
      <c r="B22" s="140" t="s">
        <v>191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2:68" ht="15.75">
      <c r="B23" s="139" t="s">
        <v>188</v>
      </c>
      <c r="C23" s="4">
        <f>IF('[1]Tablero de Control'!$B$22='[1]Tablero de Control'!$S$30,'[2]Alistamiento'!D22,IF('[1]Tablero de Control'!$B$22='[1]Tablero de Control'!$S$31,'[2]Alistamiento'!D23,0))</f>
        <v>7211.706517100225</v>
      </c>
      <c r="D23" s="4">
        <f>IF('[1]Tablero de Control'!$B$22='[1]Tablero de Control'!$S$30,'[2]Alistamiento'!E22,IF('[1]Tablero de Control'!$B$22='[1]Tablero de Control'!$S$31,'[2]Alistamiento'!E23,0))</f>
        <v>7634.412213199043</v>
      </c>
      <c r="E23" s="4">
        <f>IF('[1]Tablero de Control'!$B$22='[1]Tablero de Control'!$S$30,'[2]Alistamiento'!F22,IF('[1]Tablero de Control'!$B$22='[1]Tablero de Control'!$S$31,'[2]Alistamiento'!F23,0))</f>
        <v>8081.8882372846965</v>
      </c>
      <c r="F23" s="4">
        <f>IF('[1]Tablero de Control'!$B$22='[1]Tablero de Control'!$S$30,'[2]Alistamiento'!G22,IF('[1]Tablero de Control'!$B$22='[1]Tablero de Control'!$S$31,'[2]Alistamiento'!G23,0))</f>
        <v>8555.585591050713</v>
      </c>
      <c r="G23" s="4">
        <f>IF('[1]Tablero de Control'!$B$22='[1]Tablero de Control'!$S$30,'[2]Alistamiento'!H22,IF('[1]Tablero de Control'!$B$22='[1]Tablero de Control'!$S$31,'[2]Alistamiento'!H23,0))</f>
        <v>9057.040234980708</v>
      </c>
      <c r="H23" s="4">
        <f>IF('[1]Tablero de Control'!$B$22='[1]Tablero de Control'!$S$30,'[2]Alistamiento'!I22,IF('[1]Tablero de Control'!$B$22='[1]Tablero de Control'!$S$31,'[2]Alistamiento'!I23,0))</f>
        <v>9587.878055951387</v>
      </c>
      <c r="I23" s="4">
        <f>IF('[1]Tablero de Control'!$B$22='[1]Tablero de Control'!$S$30,'[2]Alistamiento'!J22,IF('[1]Tablero de Control'!$B$22='[1]Tablero de Control'!$S$31,'[2]Alistamiento'!J23,0))</f>
        <v>10149.820142336937</v>
      </c>
      <c r="J23" s="4">
        <f>IF('[1]Tablero de Control'!$B$22='[1]Tablero de Control'!$S$30,'[2]Alistamiento'!K22,IF('[1]Tablero de Control'!$B$22='[1]Tablero de Control'!$S$31,'[2]Alistamiento'!K23,0))</f>
        <v>10744.688342556916</v>
      </c>
      <c r="K23" s="4">
        <f>IF('[1]Tablero de Control'!$B$22='[1]Tablero de Control'!$S$30,'[2]Alistamiento'!L22,IF('[1]Tablero de Control'!$B$22='[1]Tablero de Control'!$S$31,'[2]Alistamiento'!L23,0))</f>
        <v>11374.411165190151</v>
      </c>
      <c r="L23" s="4">
        <f>IF('[1]Tablero de Control'!$B$22='[1]Tablero de Control'!$S$30,'[2]Alistamiento'!M22,IF('[1]Tablero de Control'!$B$22='[1]Tablero de Control'!$S$31,'[2]Alistamiento'!M23,0))</f>
        <v>12041.03002007157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2:68" ht="15.75">
      <c r="B24" s="140" t="s">
        <v>192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2:68" ht="15.75">
      <c r="B25" s="139" t="s">
        <v>193</v>
      </c>
      <c r="C25" s="4">
        <f>IF('[1]Tablero de Control'!$B$22='[1]Tablero de Control'!$S$30,'[2]Transporte'!D80,IF('[1]Tablero de Control'!$B$22='[1]Tablero de Control'!$S$31,'[2]Transporte'!D81,0))</f>
        <v>1664.6908974157955</v>
      </c>
      <c r="D25" s="4">
        <f>IF('[1]Tablero de Control'!$B$22='[1]Tablero de Control'!$S$30,'[2]Transporte'!E80,IF('[1]Tablero de Control'!$B$22='[1]Tablero de Control'!$S$31,'[2]Transporte'!E81,0))</f>
        <v>1764.1065900773588</v>
      </c>
      <c r="E25" s="4">
        <f>IF('[1]Tablero de Control'!$B$22='[1]Tablero de Control'!$S$30,'[2]Transporte'!F80,IF('[1]Tablero de Control'!$B$22='[1]Tablero de Control'!$S$31,'[2]Transporte'!F81,0))</f>
        <v>1869.4685662176862</v>
      </c>
      <c r="F25" s="4">
        <f>IF('[1]Tablero de Control'!$B$22='[1]Tablero de Control'!$S$30,'[2]Transporte'!G80,IF('[1]Tablero de Control'!$B$22='[1]Tablero de Control'!$S$31,'[2]Transporte'!G81,0))</f>
        <v>1981.1328552788964</v>
      </c>
      <c r="G25" s="4">
        <f>IF('[1]Tablero de Control'!$B$22='[1]Tablero de Control'!$S$30,'[2]Transporte'!H80,IF('[1]Tablero de Control'!$B$22='[1]Tablero de Control'!$S$31,'[2]Transporte'!H81,0))</f>
        <v>2099.4768185110274</v>
      </c>
      <c r="H25" s="4">
        <f>IF('[1]Tablero de Control'!$B$22='[1]Tablero de Control'!$S$30,'[2]Transporte'!I80,IF('[1]Tablero de Control'!$B$22='[1]Tablero de Control'!$S$31,'[2]Transporte'!I81,0))</f>
        <v>2224.900426662517</v>
      </c>
      <c r="I25" s="4">
        <f>IF('[1]Tablero de Control'!$B$22='[1]Tablero de Control'!$S$30,'[2]Transporte'!J80,IF('[1]Tablero de Control'!$B$22='[1]Tablero de Control'!$S$31,'[2]Transporte'!J81,0))</f>
        <v>2357.827618292695</v>
      </c>
      <c r="J25" s="4">
        <f>IF('[1]Tablero de Control'!$B$22='[1]Tablero de Control'!$S$30,'[2]Transporte'!K80,IF('[1]Tablero de Control'!$B$22='[1]Tablero de Control'!$S$31,'[2]Transporte'!K81,0))</f>
        <v>2498.707733606011</v>
      </c>
      <c r="K25" s="4">
        <f>IF('[1]Tablero de Control'!$B$22='[1]Tablero de Control'!$S$30,'[2]Transporte'!L80,IF('[1]Tablero de Control'!$B$22='[1]Tablero de Control'!$S$31,'[2]Transporte'!L81,0))</f>
        <v>2648.017038160228</v>
      </c>
      <c r="L25" s="4">
        <f>IF('[1]Tablero de Control'!$B$22='[1]Tablero de Control'!$S$30,'[2]Transporte'!M80,IF('[1]Tablero de Control'!$B$22='[1]Tablero de Control'!$S$31,'[2]Transporte'!M81,0))</f>
        <v>2806.26033698226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2:68" ht="15.75">
      <c r="B26" s="140" t="s">
        <v>194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2:68" ht="15.75">
      <c r="B27" s="139" t="s">
        <v>195</v>
      </c>
      <c r="C27" s="4">
        <f>IF('[1]Tablero de Control'!$B$22='[1]Tablero de Control'!$S$30,'[2]Entrega'!D27,IF('[1]Tablero de Control'!$B$22='[1]Tablero de Control'!$S$31,'[2]Entrega'!D28,0))</f>
        <v>16782.99539656352</v>
      </c>
      <c r="D27" s="4">
        <f>IF('[1]Tablero de Control'!$B$22='[1]Tablero de Control'!$S$30,'[2]Entrega'!E27,IF('[1]Tablero de Control'!$B$22='[1]Tablero de Control'!$S$31,'[2]Entrega'!E28,0))</f>
        <v>17766.710933920167</v>
      </c>
      <c r="E27" s="4">
        <f>IF('[1]Tablero de Control'!$B$22='[1]Tablero de Control'!$S$30,'[2]Entrega'!F27,IF('[1]Tablero de Control'!$B$22='[1]Tablero de Control'!$S$31,'[2]Entrega'!F28,0))</f>
        <v>18808.071676276304</v>
      </c>
      <c r="F27" s="4">
        <f>IF('[1]Tablero de Control'!$B$22='[1]Tablero de Control'!$S$30,'[2]Entrega'!G27,IF('[1]Tablero de Control'!$B$22='[1]Tablero de Control'!$S$31,'[2]Entrega'!G28,0))</f>
        <v>19910.4543770654</v>
      </c>
      <c r="G27" s="4">
        <f>IF('[1]Tablero de Control'!$B$22='[1]Tablero de Control'!$S$30,'[2]Entrega'!H27,IF('[1]Tablero de Control'!$B$22='[1]Tablero de Control'!$S$31,'[2]Entrega'!H28,0))</f>
        <v>21077.433504780456</v>
      </c>
      <c r="H27" s="4">
        <f>IF('[1]Tablero de Control'!$B$22='[1]Tablero de Control'!$S$30,'[2]Entrega'!I27,IF('[1]Tablero de Control'!$B$22='[1]Tablero de Control'!$S$31,'[2]Entrega'!I28,0))</f>
        <v>22312.792803518936</v>
      </c>
      <c r="I27" s="4">
        <f>IF('[1]Tablero de Control'!$B$22='[1]Tablero de Control'!$S$30,'[2]Entrega'!J27,IF('[1]Tablero de Control'!$B$22='[1]Tablero de Control'!$S$31,'[2]Entrega'!J28,0))</f>
        <v>23620.537569141507</v>
      </c>
      <c r="J27" s="4">
        <f>IF('[1]Tablero de Control'!$B$22='[1]Tablero de Control'!$S$30,'[2]Entrega'!K27,IF('[1]Tablero de Control'!$B$22='[1]Tablero de Control'!$S$31,'[2]Entrega'!K28,0))</f>
        <v>25004.90758505673</v>
      </c>
      <c r="K27" s="4">
        <f>IF('[1]Tablero de Control'!$B$22='[1]Tablero de Control'!$S$30,'[2]Entrega'!L27,IF('[1]Tablero de Control'!$B$22='[1]Tablero de Control'!$S$31,'[2]Entrega'!L28,0))</f>
        <v>26470.390852894165</v>
      </c>
      <c r="L27" s="4">
        <f>IF('[1]Tablero de Control'!$B$22='[1]Tablero de Control'!$S$30,'[2]Entrega'!M27,IF('[1]Tablero de Control'!$B$22='[1]Tablero de Control'!$S$31,'[2]Entrega'!M28,0))</f>
        <v>28021.738116708755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2:68" ht="15.75">
      <c r="B28" s="22" t="s">
        <v>207</v>
      </c>
      <c r="C28" s="19">
        <f>SUM(C29:C31)</f>
        <v>395.57879800071777</v>
      </c>
      <c r="D28" s="19">
        <f>SUM(D29:D31)</f>
        <v>395.55876768648545</v>
      </c>
      <c r="E28" s="19">
        <f aca="true" t="shared" si="2" ref="E28:L28">SUM(E29:E31)</f>
        <v>395.9192981591063</v>
      </c>
      <c r="F28" s="19">
        <f t="shared" si="2"/>
        <v>396.3003928754808</v>
      </c>
      <c r="G28" s="19">
        <f t="shared" si="2"/>
        <v>743.0232272601461</v>
      </c>
      <c r="H28" s="19">
        <f t="shared" si="2"/>
        <v>397.1290440395038</v>
      </c>
      <c r="I28" s="19">
        <f t="shared" si="2"/>
        <v>397.5791570972184</v>
      </c>
      <c r="J28" s="19">
        <f t="shared" si="2"/>
        <v>398.05495556597725</v>
      </c>
      <c r="K28" s="19">
        <f t="shared" si="2"/>
        <v>398.55790813200156</v>
      </c>
      <c r="L28" s="19">
        <f t="shared" si="2"/>
        <v>399.0895676013316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2:68" ht="15.75">
      <c r="B29" s="17" t="s">
        <v>197</v>
      </c>
      <c r="C29" s="21">
        <f>+'Depreciaciones Iniciales'!C26+'Reposiciones Activos'!C114</f>
        <v>49.25879800071777</v>
      </c>
      <c r="D29" s="21">
        <f>+'Depreciaciones Iniciales'!D26+'Reposiciones Activos'!D114</f>
        <v>49.238767686485474</v>
      </c>
      <c r="E29" s="21">
        <f>+'Depreciaciones Iniciales'!E26+'Reposiciones Activos'!E114</f>
        <v>49.59929815910632</v>
      </c>
      <c r="F29" s="21">
        <f>+'Depreciaciones Iniciales'!F26+'Reposiciones Activos'!F114</f>
        <v>49.9803928754808</v>
      </c>
      <c r="G29" s="21">
        <f>+'Depreciaciones Iniciales'!G26+'Reposiciones Activos'!G114</f>
        <v>50.383227260146256</v>
      </c>
      <c r="H29" s="21">
        <f>+'Depreciaciones Iniciales'!H26+'Reposiciones Activos'!H114</f>
        <v>50.809044039503824</v>
      </c>
      <c r="I29" s="21">
        <f>+'Depreciaciones Iniciales'!I26+'Reposiciones Activos'!I114</f>
        <v>51.25915709721842</v>
      </c>
      <c r="J29" s="21">
        <f>+'Depreciaciones Iniciales'!J26+'Reposiciones Activos'!J114</f>
        <v>51.73495556597728</v>
      </c>
      <c r="K29" s="21">
        <f>+'Depreciaciones Iniciales'!K26+'Reposiciones Activos'!K114</f>
        <v>52.23790813200158</v>
      </c>
      <c r="L29" s="21">
        <f>+'Depreciaciones Iniciales'!L26+'Reposiciones Activos'!L114</f>
        <v>52.76956760133162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2:68" ht="15.75">
      <c r="B30" s="17" t="s">
        <v>198</v>
      </c>
      <c r="C30" s="21">
        <f>+'Depreciaciones Iniciales'!C27+'Reposiciones Activos'!D138</f>
        <v>346.32</v>
      </c>
      <c r="D30" s="21">
        <f>+'Depreciaciones Iniciales'!D27+'Reposiciones Activos'!E138</f>
        <v>346.32</v>
      </c>
      <c r="E30" s="21">
        <f>+'Depreciaciones Iniciales'!E27+'Reposiciones Activos'!F138</f>
        <v>346.32</v>
      </c>
      <c r="F30" s="21">
        <f>+'Depreciaciones Iniciales'!F27+'Reposiciones Activos'!G138</f>
        <v>346.32</v>
      </c>
      <c r="G30" s="21">
        <f>+'Depreciaciones Iniciales'!G27+'Reposiciones Activos'!H138</f>
        <v>692.6399999999999</v>
      </c>
      <c r="H30" s="21">
        <f>+'Depreciaciones Iniciales'!H27+'Reposiciones Activos'!I138</f>
        <v>346.32</v>
      </c>
      <c r="I30" s="21">
        <f>+'Depreciaciones Iniciales'!I27+'Reposiciones Activos'!J138</f>
        <v>346.32</v>
      </c>
      <c r="J30" s="21">
        <f>+'Depreciaciones Iniciales'!J27+'Reposiciones Activos'!K138</f>
        <v>346.32</v>
      </c>
      <c r="K30" s="21">
        <f>+'Depreciaciones Iniciales'!K27+'Reposiciones Activos'!L138</f>
        <v>346.32</v>
      </c>
      <c r="L30" s="21">
        <f>+'Depreciaciones Iniciales'!L27+'Reposiciones Activos'!L138</f>
        <v>346.32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2:68" ht="15.75" hidden="1">
      <c r="B31" s="17" t="s">
        <v>53</v>
      </c>
      <c r="C31" s="21">
        <f>+'Depreciaciones Iniciales'!C28+'Reposiciones Activos'!C162</f>
        <v>0</v>
      </c>
      <c r="D31" s="21">
        <f>+'Depreciaciones Iniciales'!D28+'Reposiciones Activos'!D162</f>
        <v>0</v>
      </c>
      <c r="E31" s="21">
        <f>+'Depreciaciones Iniciales'!E28+'Reposiciones Activos'!E162</f>
        <v>0</v>
      </c>
      <c r="F31" s="21">
        <f>+'Depreciaciones Iniciales'!F28+'Reposiciones Activos'!F162</f>
        <v>0</v>
      </c>
      <c r="G31" s="21">
        <f>+'Depreciaciones Iniciales'!G28+'Reposiciones Activos'!G162</f>
        <v>0</v>
      </c>
      <c r="H31" s="21">
        <f>+'Depreciaciones Iniciales'!H28+'Reposiciones Activos'!H162</f>
        <v>0</v>
      </c>
      <c r="I31" s="21">
        <f>+'Depreciaciones Iniciales'!I28+'Reposiciones Activos'!I162</f>
        <v>0</v>
      </c>
      <c r="J31" s="21">
        <f>+'Depreciaciones Iniciales'!J28+'Reposiciones Activos'!J162</f>
        <v>0</v>
      </c>
      <c r="K31" s="21">
        <f>+'Depreciaciones Iniciales'!K28+'Reposiciones Activos'!K162</f>
        <v>0</v>
      </c>
      <c r="L31" s="21">
        <f>+'Depreciaciones Iniciales'!L28+'Reposiciones Activos'!L162</f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2:68" ht="15.75">
      <c r="B32" s="20" t="s">
        <v>208</v>
      </c>
      <c r="C32" s="21">
        <f>+'Amortizaciones Iniciales'!C26+'Reposiciones Software'!D70</f>
        <v>36.480000000000004</v>
      </c>
      <c r="D32" s="21">
        <f>+'Amortizaciones Iniciales'!D26+'Reposiciones Software'!E70</f>
        <v>36.480000000000004</v>
      </c>
      <c r="E32" s="21">
        <f>+'Amortizaciones Iniciales'!E26+'Reposiciones Software'!F70</f>
        <v>36.480000000000004</v>
      </c>
      <c r="F32" s="21">
        <f>+'Amortizaciones Iniciales'!F26+'Reposiciones Software'!G70</f>
        <v>36.480000000000004</v>
      </c>
      <c r="G32" s="21">
        <f>+'Amortizaciones Iniciales'!G26+'Reposiciones Software'!H70</f>
        <v>72.96</v>
      </c>
      <c r="H32" s="21">
        <f>+'Amortizaciones Iniciales'!H26+'Reposiciones Software'!I70</f>
        <v>36.480000000000004</v>
      </c>
      <c r="I32" s="21">
        <f>+'Amortizaciones Iniciales'!I26+'Reposiciones Software'!J70</f>
        <v>36.480000000000004</v>
      </c>
      <c r="J32" s="21">
        <f>+'Amortizaciones Iniciales'!J26+'Reposiciones Software'!K70</f>
        <v>36.480000000000004</v>
      </c>
      <c r="K32" s="21">
        <f>+'Amortizaciones Iniciales'!K26+'Reposiciones Software'!L70</f>
        <v>36.480000000000004</v>
      </c>
      <c r="L32" s="21">
        <f>+'Amortizaciones Iniciales'!L26+'Reposiciones Software'!M70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2:68" ht="15.75">
      <c r="B33" s="20" t="s">
        <v>242</v>
      </c>
      <c r="C33" s="21">
        <f>+C10*'[1]Financieros'!$C$51</f>
        <v>1022.342145927337</v>
      </c>
      <c r="D33" s="21">
        <f>+D10*'[1]Financieros'!$C$51</f>
        <v>1089.43756781625</v>
      </c>
      <c r="E33" s="21">
        <f>+E10*'[1]Financieros'!$C$51</f>
        <v>1161.0143628318838</v>
      </c>
      <c r="F33" s="21">
        <f>+F10*'[1]Financieros'!$C$51</f>
        <v>1237.372536089429</v>
      </c>
      <c r="G33" s="21">
        <f>+G10*'[1]Financieros'!$C$51</f>
        <v>1318.8321854316964</v>
      </c>
      <c r="H33" s="21">
        <f>+H10*'[1]Financieros'!$C$51</f>
        <v>1370.9279199878974</v>
      </c>
      <c r="I33" s="21">
        <f>+I10*'[1]Financieros'!$C$51</f>
        <v>1425.114532499019</v>
      </c>
      <c r="J33" s="21">
        <f>+J10*'[1]Financieros'!$C$51</f>
        <v>1481.4760473623141</v>
      </c>
      <c r="K33" s="21">
        <f>+K10*'[1]Financieros'!$C$51</f>
        <v>1540.0998664532167</v>
      </c>
      <c r="L33" s="21">
        <f>+L10*'[1]Financieros'!$C$51</f>
        <v>1601.076904900313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2:68" ht="15.75">
      <c r="B34" s="20" t="s">
        <v>241</v>
      </c>
      <c r="C34" s="21">
        <f>+Balance!D11-Balance!C11</f>
        <v>10.413820988165583</v>
      </c>
      <c r="D34" s="21">
        <f>+Balance!E11-Balance!D11</f>
        <v>24.3099354669975</v>
      </c>
      <c r="E34" s="21">
        <f>+Balance!F11-Balance!E11</f>
        <v>25.93362138247602</v>
      </c>
      <c r="F34" s="21">
        <f>+Balance!G11-Balance!F11</f>
        <v>27.66600480345852</v>
      </c>
      <c r="G34" s="21">
        <f>+Balance!H11-Balance!G11</f>
        <v>29.514365703719932</v>
      </c>
      <c r="H34" s="21">
        <f>+Balance!I11-Balance!H11</f>
        <v>18.87526614355113</v>
      </c>
      <c r="I34" s="21">
        <f>+Balance!J11-Balance!I11</f>
        <v>19.632830619971514</v>
      </c>
      <c r="J34" s="21">
        <f>+Balance!K11-Balance!J11</f>
        <v>20.420838718585287</v>
      </c>
      <c r="K34" s="21">
        <f>+Balance!L11-Balance!K11</f>
        <v>21.24051416337045</v>
      </c>
      <c r="L34" s="21">
        <f>+Balance!M11-Balance!L11</f>
        <v>22.093129872136274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2:68" ht="15.75">
      <c r="B35" s="80" t="s">
        <v>59</v>
      </c>
      <c r="C35" s="81">
        <f aca="true" t="shared" si="3" ref="C35:L35">+C10-C15</f>
        <v>7148.066597178738</v>
      </c>
      <c r="D35" s="81">
        <f t="shared" si="3"/>
        <v>8040.873489860838</v>
      </c>
      <c r="E35" s="81">
        <f t="shared" si="3"/>
        <v>9021.541649332496</v>
      </c>
      <c r="F35" s="81">
        <f t="shared" si="3"/>
        <v>10084.060211084216</v>
      </c>
      <c r="G35" s="81">
        <f t="shared" si="3"/>
        <v>10852.088166994246</v>
      </c>
      <c r="H35" s="81">
        <f t="shared" si="3"/>
        <v>11015.048469727328</v>
      </c>
      <c r="I35" s="81">
        <f t="shared" si="3"/>
        <v>10728.806815680684</v>
      </c>
      <c r="J35" s="81">
        <f t="shared" si="3"/>
        <v>10382.633016598294</v>
      </c>
      <c r="K35" s="81">
        <f t="shared" si="3"/>
        <v>9971.274651799751</v>
      </c>
      <c r="L35" s="81">
        <f t="shared" si="3"/>
        <v>9525.580909434218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2:7" ht="7.5" customHeight="1">
      <c r="B36" s="1"/>
      <c r="C36" s="1"/>
      <c r="D36" s="1"/>
      <c r="E36" s="1"/>
      <c r="F36" s="1"/>
      <c r="G36" s="1"/>
    </row>
    <row r="37" spans="2:68" ht="15.75">
      <c r="B37" s="45" t="s">
        <v>49</v>
      </c>
      <c r="C37" s="55">
        <f>SUM(C38:C40)</f>
        <v>2986.8</v>
      </c>
      <c r="D37" s="55">
        <f aca="true" t="shared" si="4" ref="D37:L37">SUM(D38:D40)</f>
        <v>2986.8</v>
      </c>
      <c r="E37" s="55">
        <f t="shared" si="4"/>
        <v>2986.8</v>
      </c>
      <c r="F37" s="55">
        <f t="shared" si="4"/>
        <v>2986.8</v>
      </c>
      <c r="G37" s="55">
        <f t="shared" si="4"/>
        <v>2986.8</v>
      </c>
      <c r="H37" s="55">
        <f t="shared" si="4"/>
        <v>2986.8</v>
      </c>
      <c r="I37" s="55">
        <f t="shared" si="4"/>
        <v>2986.8</v>
      </c>
      <c r="J37" s="55">
        <f t="shared" si="4"/>
        <v>2986.8</v>
      </c>
      <c r="K37" s="55">
        <f t="shared" si="4"/>
        <v>2986.8</v>
      </c>
      <c r="L37" s="55">
        <f t="shared" si="4"/>
        <v>2986.8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2:68" ht="15.75">
      <c r="B38" s="20" t="s">
        <v>252</v>
      </c>
      <c r="C38" s="4">
        <f>+'[2]Overhead'!D19</f>
        <v>2986.8</v>
      </c>
      <c r="D38" s="4">
        <f>+'[2]Overhead'!E19</f>
        <v>2986.8</v>
      </c>
      <c r="E38" s="4">
        <f>+'[2]Overhead'!F19</f>
        <v>2986.8</v>
      </c>
      <c r="F38" s="4">
        <f>+'[2]Overhead'!G19</f>
        <v>2986.8</v>
      </c>
      <c r="G38" s="4">
        <f>+'[2]Overhead'!H19</f>
        <v>2986.8</v>
      </c>
      <c r="H38" s="4">
        <f>+'[2]Overhead'!I19</f>
        <v>2986.8</v>
      </c>
      <c r="I38" s="4">
        <f>+'[2]Overhead'!J19</f>
        <v>2986.8</v>
      </c>
      <c r="J38" s="4">
        <f>+'[2]Overhead'!K19</f>
        <v>2986.8</v>
      </c>
      <c r="K38" s="4">
        <f>+'[2]Overhead'!L19</f>
        <v>2986.8</v>
      </c>
      <c r="L38" s="4">
        <f>+'[2]Overhead'!M19</f>
        <v>2986.8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2:68" ht="15.75" hidden="1"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68" ht="15.75" hidden="1"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68" ht="15.75">
      <c r="B41" s="80" t="s">
        <v>50</v>
      </c>
      <c r="C41" s="81">
        <f aca="true" t="shared" si="5" ref="C41:L41">+C35-C37</f>
        <v>4161.266597178738</v>
      </c>
      <c r="D41" s="81">
        <f t="shared" si="5"/>
        <v>5054.073489860838</v>
      </c>
      <c r="E41" s="81">
        <f t="shared" si="5"/>
        <v>6034.741649332495</v>
      </c>
      <c r="F41" s="81">
        <f t="shared" si="5"/>
        <v>7097.260211084215</v>
      </c>
      <c r="G41" s="81">
        <f t="shared" si="5"/>
        <v>7865.288166994246</v>
      </c>
      <c r="H41" s="81">
        <f t="shared" si="5"/>
        <v>8028.248469727328</v>
      </c>
      <c r="I41" s="81">
        <f t="shared" si="5"/>
        <v>7742.006815680684</v>
      </c>
      <c r="J41" s="81">
        <f t="shared" si="5"/>
        <v>7395.833016598294</v>
      </c>
      <c r="K41" s="81">
        <f t="shared" si="5"/>
        <v>6984.474651799751</v>
      </c>
      <c r="L41" s="81">
        <f t="shared" si="5"/>
        <v>6538.780909434218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7" ht="4.5" customHeight="1">
      <c r="B42" s="1"/>
      <c r="C42" s="1"/>
      <c r="D42" s="1"/>
      <c r="E42" s="1"/>
      <c r="F42" s="1"/>
      <c r="G42" s="1"/>
    </row>
    <row r="43" spans="2:68" ht="15.75">
      <c r="B43" s="45" t="s">
        <v>173</v>
      </c>
      <c r="C43" s="55">
        <f aca="true" t="shared" si="6" ref="C43:L43">+C44</f>
        <v>84.07663793903461</v>
      </c>
      <c r="D43" s="55">
        <f t="shared" si="6"/>
        <v>265.027005699644</v>
      </c>
      <c r="E43" s="55">
        <f t="shared" si="6"/>
        <v>479.5318236207822</v>
      </c>
      <c r="F43" s="55">
        <f t="shared" si="6"/>
        <v>737.7725508444113</v>
      </c>
      <c r="G43" s="55">
        <f t="shared" si="6"/>
        <v>996.0235128537938</v>
      </c>
      <c r="H43" s="55">
        <f t="shared" si="6"/>
        <v>1285.1320156077168</v>
      </c>
      <c r="I43" s="55">
        <f t="shared" si="6"/>
        <v>1629.329581670451</v>
      </c>
      <c r="J43" s="55">
        <f t="shared" si="6"/>
        <v>1974.5499723148673</v>
      </c>
      <c r="K43" s="55">
        <f t="shared" si="6"/>
        <v>2318.0831453112364</v>
      </c>
      <c r="L43" s="55">
        <f t="shared" si="6"/>
        <v>2591.323239898391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68" ht="15.75">
      <c r="B44" s="58" t="s">
        <v>174</v>
      </c>
      <c r="C44" s="19">
        <f>+C45-C46</f>
        <v>84.07663793903444</v>
      </c>
      <c r="D44" s="19">
        <f>+D45-D46</f>
        <v>265.02700569964384</v>
      </c>
      <c r="E44" s="19">
        <f aca="true" t="shared" si="7" ref="E44:L44">+E45-E46</f>
        <v>479.53182362080236</v>
      </c>
      <c r="F44" s="19">
        <f t="shared" si="7"/>
        <v>737.7725508446254</v>
      </c>
      <c r="G44" s="19">
        <f t="shared" si="7"/>
        <v>996.0235128557399</v>
      </c>
      <c r="H44" s="19">
        <f t="shared" si="7"/>
        <v>1285.1320156167872</v>
      </c>
      <c r="I44" s="19">
        <f t="shared" si="7"/>
        <v>1629.3295816986247</v>
      </c>
      <c r="J44" s="19">
        <f t="shared" si="7"/>
        <v>1974.5499723412668</v>
      </c>
      <c r="K44" s="19">
        <f t="shared" si="7"/>
        <v>2318.08314490533</v>
      </c>
      <c r="L44" s="19">
        <f t="shared" si="7"/>
        <v>2591.3232370902633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2:68" ht="15.75">
      <c r="B45" s="20" t="s">
        <v>175</v>
      </c>
      <c r="C45" s="4">
        <f>(+Balance!C12+Balance!D12)/2*'[1]Financieros'!$C$48</f>
        <v>84.07663793903463</v>
      </c>
      <c r="D45" s="4">
        <f>(+Balance!D12+Balance!E12)/2*'[1]Financieros'!$C$48</f>
        <v>265.0270056996433</v>
      </c>
      <c r="E45" s="4">
        <f>(+Balance!E12+Balance!F12)/2*'[1]Financieros'!$C$48</f>
        <v>479.5318236208006</v>
      </c>
      <c r="F45" s="4">
        <f>(+Balance!F12+Balance!G12)/2*'[1]Financieros'!$C$48</f>
        <v>737.7725508447006</v>
      </c>
      <c r="G45" s="4">
        <f>(+Balance!G12+Balance!H12)/2*'[1]Financieros'!$C$48</f>
        <v>996.0235128565034</v>
      </c>
      <c r="H45" s="4">
        <f>(+Balance!H12+Balance!I12)/2*'[1]Financieros'!$C$48</f>
        <v>1285.1320156224042</v>
      </c>
      <c r="I45" s="4">
        <f>(+Balance!I12+Balance!J12)/2*'[1]Financieros'!$C$48</f>
        <v>1629.3295817223416</v>
      </c>
      <c r="J45" s="4">
        <f>(+Balance!J12+Balance!K12)/2*'[1]Financieros'!$C$48</f>
        <v>1974.549972404652</v>
      </c>
      <c r="K45" s="4">
        <f>(+Balance!K12+Balance!L12)/2*'[1]Financieros'!$C$48</f>
        <v>2318.0831449430475</v>
      </c>
      <c r="L45" s="4">
        <f>(+Balance!L12+Balance!M12)/2*'[1]Financieros'!$C$48</f>
        <v>2591.3232362510103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2:68" ht="15.75">
      <c r="B46" s="20" t="s">
        <v>176</v>
      </c>
      <c r="C46" s="4">
        <f>(Balance!C38+Balance!D38)/2*'[1]Financieros'!$C$50</f>
        <v>0</v>
      </c>
      <c r="D46" s="4">
        <f>(Balance!D38+Balance!E38)/2*'[1]Financieros'!$C$50</f>
        <v>0</v>
      </c>
      <c r="E46" s="4">
        <f>(Balance!E38+Balance!F38)/2*'[1]Financieros'!$C$50</f>
        <v>0</v>
      </c>
      <c r="F46" s="4">
        <f>(Balance!F38+Balance!G38)/2*'[1]Financieros'!$C$50</f>
        <v>0</v>
      </c>
      <c r="G46" s="4">
        <f>(Balance!G38+Balance!H38)/2*'[1]Financieros'!$C$50</f>
        <v>0</v>
      </c>
      <c r="H46" s="4">
        <f>(Balance!H38+Balance!I38)/2*'[1]Financieros'!$C$50</f>
        <v>0</v>
      </c>
      <c r="I46" s="4">
        <f>(Balance!I38+Balance!J38)/2*'[1]Financieros'!$C$50</f>
        <v>0</v>
      </c>
      <c r="J46" s="4">
        <f>(Balance!J38+Balance!K38)/2*'[1]Financieros'!$C$50</f>
        <v>0</v>
      </c>
      <c r="K46" s="4">
        <f>(Balance!K38+Balance!L38)/2*'[1]Financieros'!$C$50</f>
        <v>0</v>
      </c>
      <c r="L46" s="4">
        <f>(Balance!L38+Balance!M38)/2*'[1]Financieros'!$C$50</f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2:68" ht="15.75">
      <c r="B47" s="60" t="s">
        <v>51</v>
      </c>
      <c r="C47" s="61">
        <f>+C41+C43</f>
        <v>4245.343235117773</v>
      </c>
      <c r="D47" s="61">
        <f>+D41+D43</f>
        <v>5319.100495560482</v>
      </c>
      <c r="E47" s="61">
        <f aca="true" t="shared" si="8" ref="E47:L47">+E41+E43</f>
        <v>6514.273472953278</v>
      </c>
      <c r="F47" s="61">
        <f t="shared" si="8"/>
        <v>7835.032761928626</v>
      </c>
      <c r="G47" s="61">
        <f t="shared" si="8"/>
        <v>8861.31167984804</v>
      </c>
      <c r="H47" s="61">
        <f t="shared" si="8"/>
        <v>9313.380485335045</v>
      </c>
      <c r="I47" s="61">
        <f t="shared" si="8"/>
        <v>9371.336397351135</v>
      </c>
      <c r="J47" s="61">
        <f t="shared" si="8"/>
        <v>9370.382988913161</v>
      </c>
      <c r="K47" s="61">
        <f t="shared" si="8"/>
        <v>9302.557797110987</v>
      </c>
      <c r="L47" s="61">
        <f t="shared" si="8"/>
        <v>9130.104149332608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2:68" ht="15.75">
      <c r="B48" s="59" t="s">
        <v>177</v>
      </c>
      <c r="C48" s="23">
        <f>+Impuestos!C20</f>
        <v>1400.9830975999548</v>
      </c>
      <c r="D48" s="23">
        <f>+Impuestos!D20</f>
        <v>1755.303163534958</v>
      </c>
      <c r="E48" s="23">
        <f>+Impuestos!E20</f>
        <v>2149.7102460745664</v>
      </c>
      <c r="F48" s="23">
        <f>+Impuestos!F20</f>
        <v>2585.560811436255</v>
      </c>
      <c r="G48" s="23">
        <f>+Impuestos!G20</f>
        <v>2924.232854348862</v>
      </c>
      <c r="H48" s="23">
        <f>+Impuestos!H20</f>
        <v>3073.415560156822</v>
      </c>
      <c r="I48" s="23">
        <f>+Impuestos!I20</f>
        <v>3092.541011120847</v>
      </c>
      <c r="J48" s="23">
        <f>+Impuestos!J20</f>
        <v>3092.226386402995</v>
      </c>
      <c r="K48" s="23">
        <f>+Impuestos!K20</f>
        <v>3069.844073518245</v>
      </c>
      <c r="L48" s="23">
        <f>+Impuestos!L20</f>
        <v>3012.9343713296566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2:68" ht="15.75">
      <c r="B49" s="57" t="s">
        <v>52</v>
      </c>
      <c r="C49" s="62">
        <f aca="true" t="shared" si="9" ref="C49:L49">+C47-C48</f>
        <v>2844.3601375178177</v>
      </c>
      <c r="D49" s="62">
        <f t="shared" si="9"/>
        <v>3563.797332025524</v>
      </c>
      <c r="E49" s="62">
        <f t="shared" si="9"/>
        <v>4364.563226878711</v>
      </c>
      <c r="F49" s="62">
        <f t="shared" si="9"/>
        <v>5249.471950492371</v>
      </c>
      <c r="G49" s="62">
        <f t="shared" si="9"/>
        <v>5937.0788254991785</v>
      </c>
      <c r="H49" s="62">
        <f t="shared" si="9"/>
        <v>6239.964925178223</v>
      </c>
      <c r="I49" s="62">
        <f t="shared" si="9"/>
        <v>6278.7953862302875</v>
      </c>
      <c r="J49" s="62">
        <f t="shared" si="9"/>
        <v>6278.156602510166</v>
      </c>
      <c r="K49" s="62">
        <f t="shared" si="9"/>
        <v>6232.713723592742</v>
      </c>
      <c r="L49" s="62">
        <f t="shared" si="9"/>
        <v>6117.169778002952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2:7" ht="4.5" customHeight="1">
      <c r="B50" s="1"/>
      <c r="C50" s="1"/>
      <c r="D50" s="1"/>
      <c r="E50" s="1"/>
      <c r="F50" s="1"/>
      <c r="G50" s="1"/>
    </row>
    <row r="51" spans="2:13" ht="15.75">
      <c r="B51" s="80" t="s">
        <v>235</v>
      </c>
      <c r="C51" s="160">
        <f aca="true" t="shared" si="10" ref="C51:L51">+C41/C10</f>
        <v>0.09361751554152743</v>
      </c>
      <c r="D51" s="160">
        <f t="shared" si="10"/>
        <v>0.10670064416798734</v>
      </c>
      <c r="E51" s="160">
        <f t="shared" si="10"/>
        <v>0.11954981986277602</v>
      </c>
      <c r="F51" s="160">
        <f t="shared" si="10"/>
        <v>0.13192226277369004</v>
      </c>
      <c r="G51" s="160">
        <f t="shared" si="10"/>
        <v>0.13716804142268693</v>
      </c>
      <c r="H51" s="160">
        <f t="shared" si="10"/>
        <v>0.13468958660157612</v>
      </c>
      <c r="I51" s="160">
        <f t="shared" si="10"/>
        <v>0.1249486639143358</v>
      </c>
      <c r="J51" s="160">
        <f t="shared" si="10"/>
        <v>0.11482072874861647</v>
      </c>
      <c r="K51" s="160">
        <f t="shared" si="10"/>
        <v>0.10430681833727314</v>
      </c>
      <c r="L51" s="160">
        <f t="shared" si="10"/>
        <v>0.09393175334469696</v>
      </c>
      <c r="M51" s="160">
        <f>AVERAGE(C51:L51)</f>
        <v>0.11616558347151665</v>
      </c>
    </row>
    <row r="52" spans="2:12" ht="15.75">
      <c r="B52" s="20" t="s">
        <v>255</v>
      </c>
      <c r="C52" s="4">
        <f>+C49-C45+C46+C48</f>
        <v>4161.266597178737</v>
      </c>
      <c r="D52" s="4">
        <f aca="true" t="shared" si="11" ref="D52:L52">+D49-D45+D46+D48</f>
        <v>5054.073489860839</v>
      </c>
      <c r="E52" s="4">
        <f t="shared" si="11"/>
        <v>6034.741649332477</v>
      </c>
      <c r="F52" s="4">
        <f t="shared" si="11"/>
        <v>7097.260211083925</v>
      </c>
      <c r="G52" s="4">
        <f t="shared" si="11"/>
        <v>7865.288166991537</v>
      </c>
      <c r="H52" s="4">
        <f t="shared" si="11"/>
        <v>8028.24846971264</v>
      </c>
      <c r="I52" s="4">
        <f t="shared" si="11"/>
        <v>7742.0068156287925</v>
      </c>
      <c r="J52" s="4">
        <f t="shared" si="11"/>
        <v>7395.833016508508</v>
      </c>
      <c r="K52" s="4">
        <f t="shared" si="11"/>
        <v>6984.474652167939</v>
      </c>
      <c r="L52" s="4">
        <f t="shared" si="11"/>
        <v>6538.780913081599</v>
      </c>
    </row>
    <row r="53" spans="2:12" ht="15.75">
      <c r="B53" s="20" t="s">
        <v>256</v>
      </c>
      <c r="C53" s="4">
        <f>+C52+C28+C32+C34</f>
        <v>4603.739216167621</v>
      </c>
      <c r="D53" s="4">
        <f aca="true" t="shared" si="12" ref="D53:L53">+D52+D28+D32+D34</f>
        <v>5510.422193014321</v>
      </c>
      <c r="E53" s="4">
        <f t="shared" si="12"/>
        <v>6493.074568874059</v>
      </c>
      <c r="F53" s="4">
        <f t="shared" si="12"/>
        <v>7557.706608762864</v>
      </c>
      <c r="G53" s="4">
        <f t="shared" si="12"/>
        <v>8710.785759955403</v>
      </c>
      <c r="H53" s="4">
        <f t="shared" si="12"/>
        <v>8480.732779895696</v>
      </c>
      <c r="I53" s="4">
        <f t="shared" si="12"/>
        <v>8195.698803345982</v>
      </c>
      <c r="J53" s="4">
        <f t="shared" si="12"/>
        <v>7850.78881079307</v>
      </c>
      <c r="K53" s="4">
        <f t="shared" si="12"/>
        <v>7440.75307446331</v>
      </c>
      <c r="L53" s="4">
        <f t="shared" si="12"/>
        <v>6959.963610555066</v>
      </c>
    </row>
    <row r="54" spans="3:12" ht="15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5.75">
      <c r="B55" s="56" t="s">
        <v>236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5.75">
      <c r="B56" s="45" t="s">
        <v>121</v>
      </c>
      <c r="C56" s="161">
        <f>+SUM(C57:C59)</f>
        <v>0.9999999999999999</v>
      </c>
      <c r="D56" s="161">
        <f aca="true" t="shared" si="13" ref="D56:L56">+SUM(D57:D59)</f>
        <v>0.9999999999999999</v>
      </c>
      <c r="E56" s="161">
        <f t="shared" si="13"/>
        <v>1</v>
      </c>
      <c r="F56" s="161">
        <f t="shared" si="13"/>
        <v>1</v>
      </c>
      <c r="G56" s="161">
        <f t="shared" si="13"/>
        <v>1</v>
      </c>
      <c r="H56" s="161">
        <f t="shared" si="13"/>
        <v>1</v>
      </c>
      <c r="I56" s="161">
        <f t="shared" si="13"/>
        <v>1</v>
      </c>
      <c r="J56" s="161">
        <f t="shared" si="13"/>
        <v>1</v>
      </c>
      <c r="K56" s="161">
        <f t="shared" si="13"/>
        <v>0.9999999999999999</v>
      </c>
      <c r="L56" s="161">
        <f t="shared" si="13"/>
        <v>1</v>
      </c>
    </row>
    <row r="57" spans="2:12" ht="15.75">
      <c r="B57" s="20" t="s">
        <v>257</v>
      </c>
      <c r="C57" s="162">
        <f>+C11/C10</f>
        <v>0.9756269912441817</v>
      </c>
      <c r="D57" s="162">
        <f aca="true" t="shared" si="14" ref="D57:L57">+D11/D10</f>
        <v>0.9768740602253614</v>
      </c>
      <c r="E57" s="162">
        <f t="shared" si="14"/>
        <v>0.9780570447494873</v>
      </c>
      <c r="F57" s="162">
        <f t="shared" si="14"/>
        <v>0.9791791529360728</v>
      </c>
      <c r="G57" s="162">
        <f t="shared" si="14"/>
        <v>0.9802434451913238</v>
      </c>
      <c r="H57" s="162">
        <f t="shared" si="14"/>
        <v>0.9809047566560469</v>
      </c>
      <c r="I57" s="162">
        <f t="shared" si="14"/>
        <v>0.9815437693496447</v>
      </c>
      <c r="J57" s="162">
        <f t="shared" si="14"/>
        <v>0.9821612210968104</v>
      </c>
      <c r="K57" s="162">
        <f t="shared" si="14"/>
        <v>0.9827578268776774</v>
      </c>
      <c r="L57" s="162">
        <f t="shared" si="14"/>
        <v>0.9833342794116154</v>
      </c>
    </row>
    <row r="58" spans="2:12" ht="15.75">
      <c r="B58" s="20" t="s">
        <v>186</v>
      </c>
      <c r="C58" s="162">
        <f>+C12/C10</f>
        <v>0.024373008755818194</v>
      </c>
      <c r="D58" s="162">
        <f aca="true" t="shared" si="15" ref="D58:L58">+D12/D10</f>
        <v>0.023125939774638553</v>
      </c>
      <c r="E58" s="162">
        <f t="shared" si="15"/>
        <v>0.021942955250512774</v>
      </c>
      <c r="F58" s="162">
        <f t="shared" si="15"/>
        <v>0.020820847063927134</v>
      </c>
      <c r="G58" s="162">
        <f t="shared" si="15"/>
        <v>0.01975655480867627</v>
      </c>
      <c r="H58" s="162">
        <f t="shared" si="15"/>
        <v>0.01909524334395307</v>
      </c>
      <c r="I58" s="162">
        <f t="shared" si="15"/>
        <v>0.018456230650355343</v>
      </c>
      <c r="J58" s="162">
        <f t="shared" si="15"/>
        <v>0.017838778903189627</v>
      </c>
      <c r="K58" s="162">
        <f t="shared" si="15"/>
        <v>0.017242173122322495</v>
      </c>
      <c r="L58" s="162">
        <f t="shared" si="15"/>
        <v>0.016665720588384614</v>
      </c>
    </row>
    <row r="59" spans="2:12" ht="15.75" hidden="1">
      <c r="B59" s="20"/>
      <c r="C59" s="163"/>
      <c r="D59" s="4"/>
      <c r="E59" s="4"/>
      <c r="F59" s="4"/>
      <c r="G59" s="4"/>
      <c r="H59" s="4"/>
      <c r="I59" s="4"/>
      <c r="J59" s="4"/>
      <c r="K59" s="4"/>
      <c r="L59" s="4"/>
    </row>
    <row r="60" spans="2:7" ht="4.5" customHeight="1">
      <c r="B60" s="1"/>
      <c r="C60" s="1"/>
      <c r="D60" s="1"/>
      <c r="E60" s="1"/>
      <c r="F60" s="1"/>
      <c r="G60" s="1"/>
    </row>
    <row r="61" spans="2:12" ht="15.75">
      <c r="B61" s="45" t="s">
        <v>122</v>
      </c>
      <c r="C61" s="161">
        <f aca="true" t="shared" si="16" ref="C61:L61">SUM(C63:C73)+C74+C78+C80</f>
        <v>0.8161873675656957</v>
      </c>
      <c r="D61" s="161">
        <f t="shared" si="16"/>
        <v>0.807242598814077</v>
      </c>
      <c r="E61" s="161">
        <f t="shared" si="16"/>
        <v>0.7982808862859065</v>
      </c>
      <c r="F61" s="161">
        <f t="shared" si="16"/>
        <v>0.7895597763888187</v>
      </c>
      <c r="G61" s="161">
        <f t="shared" si="16"/>
        <v>0.7877431479167564</v>
      </c>
      <c r="H61" s="161">
        <f t="shared" si="16"/>
        <v>0.792200995537413</v>
      </c>
      <c r="I61" s="161">
        <f t="shared" si="16"/>
        <v>0.803847210428804</v>
      </c>
      <c r="J61" s="161">
        <f t="shared" si="16"/>
        <v>0.8158090311639313</v>
      </c>
      <c r="K61" s="161">
        <f t="shared" si="16"/>
        <v>0.8280880222854943</v>
      </c>
      <c r="L61" s="161">
        <f t="shared" si="16"/>
        <v>0.8401618754561775</v>
      </c>
    </row>
    <row r="62" spans="2:12" ht="15.75">
      <c r="B62" s="140" t="s">
        <v>187</v>
      </c>
      <c r="C62" s="163"/>
      <c r="D62" s="4"/>
      <c r="E62" s="4"/>
      <c r="F62" s="4"/>
      <c r="G62" s="4"/>
      <c r="H62" s="4"/>
      <c r="I62" s="4"/>
      <c r="J62" s="4"/>
      <c r="K62" s="4"/>
      <c r="L62" s="4"/>
    </row>
    <row r="63" spans="2:12" ht="15.75">
      <c r="B63" s="139" t="s">
        <v>188</v>
      </c>
      <c r="C63" s="162">
        <f>+C17/C10</f>
        <v>0.1371843303914502</v>
      </c>
      <c r="D63" s="162">
        <f aca="true" t="shared" si="17" ref="D63:L63">+D17/D10</f>
        <v>0.13645350148937394</v>
      </c>
      <c r="E63" s="162">
        <f t="shared" si="17"/>
        <v>0.13571756726167475</v>
      </c>
      <c r="F63" s="162">
        <f t="shared" si="17"/>
        <v>0.13497712526291328</v>
      </c>
      <c r="G63" s="162">
        <f t="shared" si="17"/>
        <v>0.13423273895476764</v>
      </c>
      <c r="H63" s="162">
        <f t="shared" si="17"/>
        <v>0.13687403106070042</v>
      </c>
      <c r="I63" s="162">
        <f t="shared" si="17"/>
        <v>0.1395641713341257</v>
      </c>
      <c r="J63" s="162">
        <f t="shared" si="17"/>
        <v>0.1423041094179623</v>
      </c>
      <c r="K63" s="162">
        <f t="shared" si="17"/>
        <v>0.14509481293928642</v>
      </c>
      <c r="L63" s="162">
        <f t="shared" si="17"/>
        <v>0.14793726784002495</v>
      </c>
    </row>
    <row r="64" spans="2:12" ht="15.75">
      <c r="B64" s="139" t="s">
        <v>189</v>
      </c>
      <c r="C64" s="162">
        <f>+C18/C10</f>
        <v>0.058603374847326604</v>
      </c>
      <c r="D64" s="162">
        <f aca="true" t="shared" si="18" ref="D64:L64">+D18/D10</f>
        <v>0.05499415640686367</v>
      </c>
      <c r="E64" s="162">
        <f t="shared" si="18"/>
        <v>0.05160375437032851</v>
      </c>
      <c r="F64" s="162">
        <f t="shared" si="18"/>
        <v>0.048419290272392064</v>
      </c>
      <c r="G64" s="162">
        <f t="shared" si="18"/>
        <v>0.045428600137165015</v>
      </c>
      <c r="H64" s="162">
        <f t="shared" si="18"/>
        <v>0.043702297638324346</v>
      </c>
      <c r="I64" s="162">
        <f t="shared" si="18"/>
        <v>0.042040621040429424</v>
      </c>
      <c r="J64" s="162">
        <f t="shared" si="18"/>
        <v>0.040441220839628984</v>
      </c>
      <c r="K64" s="162">
        <f t="shared" si="18"/>
        <v>0.03890182793014349</v>
      </c>
      <c r="L64" s="162">
        <f t="shared" si="18"/>
        <v>0.03742025121755804</v>
      </c>
    </row>
    <row r="65" spans="2:12" ht="15.75">
      <c r="B65" s="140" t="s">
        <v>190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</row>
    <row r="66" spans="2:12" ht="15.75">
      <c r="B66" s="139" t="s">
        <v>188</v>
      </c>
      <c r="C66" s="162">
        <f>+C20/C10</f>
        <v>0.03317658120565657</v>
      </c>
      <c r="D66" s="162">
        <f aca="true" t="shared" si="19" ref="D66:L66">+D20/D10</f>
        <v>0.032653398074327517</v>
      </c>
      <c r="E66" s="162">
        <f t="shared" si="19"/>
        <v>0.03214802390324509</v>
      </c>
      <c r="F66" s="162">
        <f t="shared" si="19"/>
        <v>0.031659546237311514</v>
      </c>
      <c r="G66" s="162">
        <f t="shared" si="19"/>
        <v>0.031187101611270262</v>
      </c>
      <c r="H66" s="162">
        <f t="shared" si="19"/>
        <v>0.03151008377388516</v>
      </c>
      <c r="I66" s="162">
        <f t="shared" si="19"/>
        <v>0.03184553477580924</v>
      </c>
      <c r="J66" s="162">
        <f t="shared" si="19"/>
        <v>0.03219339384906155</v>
      </c>
      <c r="K66" s="162">
        <f t="shared" si="19"/>
        <v>0.032553608754990235</v>
      </c>
      <c r="L66" s="162">
        <f t="shared" si="19"/>
        <v>0.03292613562666815</v>
      </c>
    </row>
    <row r="67" spans="2:12" ht="15.75">
      <c r="B67" s="139" t="s">
        <v>189</v>
      </c>
      <c r="C67" s="162">
        <f>+C21/C10</f>
        <v>0</v>
      </c>
      <c r="D67" s="162">
        <f aca="true" t="shared" si="20" ref="D67:L67">+D21/D10</f>
        <v>0</v>
      </c>
      <c r="E67" s="162">
        <f t="shared" si="20"/>
        <v>0</v>
      </c>
      <c r="F67" s="162">
        <f t="shared" si="20"/>
        <v>0</v>
      </c>
      <c r="G67" s="162">
        <f t="shared" si="20"/>
        <v>0</v>
      </c>
      <c r="H67" s="162">
        <f t="shared" si="20"/>
        <v>0</v>
      </c>
      <c r="I67" s="162">
        <f t="shared" si="20"/>
        <v>0</v>
      </c>
      <c r="J67" s="162">
        <f t="shared" si="20"/>
        <v>0</v>
      </c>
      <c r="K67" s="162">
        <f t="shared" si="20"/>
        <v>0</v>
      </c>
      <c r="L67" s="162">
        <f t="shared" si="20"/>
        <v>0</v>
      </c>
    </row>
    <row r="68" spans="2:12" ht="15.75">
      <c r="B68" s="140" t="s">
        <v>191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</row>
    <row r="69" spans="2:12" ht="15.75">
      <c r="B69" s="139" t="s">
        <v>188</v>
      </c>
      <c r="C69" s="162">
        <f>+C23/C10</f>
        <v>0.1622443626667176</v>
      </c>
      <c r="D69" s="162">
        <f aca="true" t="shared" si="21" ref="D69:L69">+D23/D10</f>
        <v>0.16117626754468056</v>
      </c>
      <c r="E69" s="162">
        <f t="shared" si="21"/>
        <v>0.1601043323909888</v>
      </c>
      <c r="F69" s="162">
        <f t="shared" si="21"/>
        <v>0.15902928411201178</v>
      </c>
      <c r="G69" s="162">
        <f t="shared" si="21"/>
        <v>0.15795180592773375</v>
      </c>
      <c r="H69" s="162">
        <f t="shared" si="21"/>
        <v>0.16085542651201434</v>
      </c>
      <c r="I69" s="162">
        <f t="shared" si="21"/>
        <v>0.16380849254578086</v>
      </c>
      <c r="J69" s="162">
        <f t="shared" si="21"/>
        <v>0.16681189838931682</v>
      </c>
      <c r="K69" s="162">
        <f t="shared" si="21"/>
        <v>0.16986655378514728</v>
      </c>
      <c r="L69" s="162">
        <f t="shared" si="21"/>
        <v>0.17297338411042118</v>
      </c>
    </row>
    <row r="70" spans="2:12" ht="15.75">
      <c r="B70" s="140" t="s">
        <v>192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2:12" ht="15.75">
      <c r="B71" s="139" t="s">
        <v>193</v>
      </c>
      <c r="C71" s="162">
        <f>+C25/C10</f>
        <v>0.03745115154754131</v>
      </c>
      <c r="D71" s="162">
        <f aca="true" t="shared" si="22" ref="D71:L71">+D25/D10</f>
        <v>0.03724348486816891</v>
      </c>
      <c r="E71" s="162">
        <f t="shared" si="22"/>
        <v>0.0370346641691227</v>
      </c>
      <c r="F71" s="162">
        <f t="shared" si="22"/>
        <v>0.03682484808934001</v>
      </c>
      <c r="G71" s="162">
        <f t="shared" si="22"/>
        <v>0.036614185913234606</v>
      </c>
      <c r="H71" s="162">
        <f t="shared" si="22"/>
        <v>0.0373270607937503</v>
      </c>
      <c r="I71" s="162">
        <f t="shared" si="22"/>
        <v>0.038053106598833535</v>
      </c>
      <c r="J71" s="162">
        <f t="shared" si="22"/>
        <v>0.038792579856597</v>
      </c>
      <c r="K71" s="162">
        <f t="shared" si="22"/>
        <v>0.03954574193811562</v>
      </c>
      <c r="L71" s="162">
        <f t="shared" si="22"/>
        <v>0.04031285914689441</v>
      </c>
    </row>
    <row r="72" spans="2:12" ht="15.75">
      <c r="B72" s="140" t="s">
        <v>194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</row>
    <row r="73" spans="2:12" ht="15.75">
      <c r="B73" s="139" t="s">
        <v>238</v>
      </c>
      <c r="C73" s="162">
        <f>+C27/C10</f>
        <v>0.37757310080454864</v>
      </c>
      <c r="D73" s="162">
        <f aca="true" t="shared" si="23" ref="D73:L73">+D27/D10</f>
        <v>0.375087442871335</v>
      </c>
      <c r="E73" s="162">
        <f t="shared" si="23"/>
        <v>0.3725928484633173</v>
      </c>
      <c r="F73" s="162">
        <f t="shared" si="23"/>
        <v>0.3700910092281273</v>
      </c>
      <c r="G73" s="162">
        <f t="shared" si="23"/>
        <v>0.3675835151469753</v>
      </c>
      <c r="H73" s="162">
        <f t="shared" si="23"/>
        <v>0.3743407855355853</v>
      </c>
      <c r="I73" s="162">
        <f t="shared" si="23"/>
        <v>0.3812131247708181</v>
      </c>
      <c r="J73" s="162">
        <f t="shared" si="23"/>
        <v>0.3882026141970107</v>
      </c>
      <c r="K73" s="162">
        <f t="shared" si="23"/>
        <v>0.3953113709558651</v>
      </c>
      <c r="L73" s="162">
        <f t="shared" si="23"/>
        <v>0.4025415485737892</v>
      </c>
    </row>
    <row r="74" spans="2:12" ht="15.75">
      <c r="B74" s="22" t="s">
        <v>207</v>
      </c>
      <c r="C74" s="164">
        <f>SUM(C75:C77)</f>
        <v>0.008899478897804503</v>
      </c>
      <c r="D74" s="164">
        <f aca="true" t="shared" si="24" ref="D74:L74">SUM(D75:D77)</f>
        <v>0.0083509619326104</v>
      </c>
      <c r="E74" s="164">
        <f t="shared" si="24"/>
        <v>0.007843265466112088</v>
      </c>
      <c r="F74" s="164">
        <f t="shared" si="24"/>
        <v>0.007366341801105963</v>
      </c>
      <c r="G74" s="164">
        <f t="shared" si="24"/>
        <v>0.012958080956592217</v>
      </c>
      <c r="H74" s="164">
        <f t="shared" si="24"/>
        <v>0.00666261725342148</v>
      </c>
      <c r="I74" s="164">
        <f t="shared" si="24"/>
        <v>0.0064165513751382065</v>
      </c>
      <c r="J74" s="164">
        <f t="shared" si="24"/>
        <v>0.006179825852951126</v>
      </c>
      <c r="K74" s="164">
        <f t="shared" si="24"/>
        <v>0.005952102254347215</v>
      </c>
      <c r="L74" s="164">
        <f t="shared" si="24"/>
        <v>0.005733053813178411</v>
      </c>
    </row>
    <row r="75" spans="2:12" ht="15.75">
      <c r="B75" s="17" t="s">
        <v>197</v>
      </c>
      <c r="C75" s="162">
        <f>+C29/C10</f>
        <v>0.001108192945512229</v>
      </c>
      <c r="D75" s="162">
        <f aca="true" t="shared" si="25" ref="D75:L75">+D29/D10</f>
        <v>0.0010395195560028434</v>
      </c>
      <c r="E75" s="162">
        <f t="shared" si="25"/>
        <v>0.0009825751465097354</v>
      </c>
      <c r="F75" s="162">
        <f t="shared" si="25"/>
        <v>0.0009290242046013672</v>
      </c>
      <c r="G75" s="162">
        <f t="shared" si="25"/>
        <v>0.0008786669295639358</v>
      </c>
      <c r="H75" s="162">
        <f t="shared" si="25"/>
        <v>0.0008524211928800053</v>
      </c>
      <c r="I75" s="162">
        <f t="shared" si="25"/>
        <v>0.0008272742901362808</v>
      </c>
      <c r="J75" s="162">
        <f t="shared" si="25"/>
        <v>0.0008031881312803101</v>
      </c>
      <c r="K75" s="162">
        <f t="shared" si="25"/>
        <v>0.0007801259601450223</v>
      </c>
      <c r="L75" s="162">
        <f t="shared" si="25"/>
        <v>0.000758052315360951</v>
      </c>
    </row>
    <row r="76" spans="2:12" ht="15.75">
      <c r="B76" s="17" t="s">
        <v>198</v>
      </c>
      <c r="C76" s="162">
        <f>+C30/C10</f>
        <v>0.007791285952292275</v>
      </c>
      <c r="D76" s="162">
        <f aca="true" t="shared" si="26" ref="D76:L76">+D30/D10</f>
        <v>0.007311442376607557</v>
      </c>
      <c r="E76" s="162">
        <f t="shared" si="26"/>
        <v>0.006860690319602353</v>
      </c>
      <c r="F76" s="162">
        <f t="shared" si="26"/>
        <v>0.006437317596504595</v>
      </c>
      <c r="G76" s="162">
        <f t="shared" si="26"/>
        <v>0.01207941402702828</v>
      </c>
      <c r="H76" s="162">
        <f t="shared" si="26"/>
        <v>0.005810196060541475</v>
      </c>
      <c r="I76" s="162">
        <f t="shared" si="26"/>
        <v>0.005589277085001926</v>
      </c>
      <c r="J76" s="162">
        <f t="shared" si="26"/>
        <v>0.005376637721670816</v>
      </c>
      <c r="K76" s="162">
        <f t="shared" si="26"/>
        <v>0.005171976294202193</v>
      </c>
      <c r="L76" s="162">
        <f t="shared" si="26"/>
        <v>0.00497500149781746</v>
      </c>
    </row>
    <row r="77" spans="2:12" ht="15.75" hidden="1">
      <c r="B77" s="17" t="s">
        <v>53</v>
      </c>
      <c r="C77" s="162">
        <f>+C31/C10</f>
        <v>0</v>
      </c>
      <c r="D77" s="162">
        <f aca="true" t="shared" si="27" ref="D77:L77">+D31/D10</f>
        <v>0</v>
      </c>
      <c r="E77" s="162">
        <f t="shared" si="27"/>
        <v>0</v>
      </c>
      <c r="F77" s="162">
        <f t="shared" si="27"/>
        <v>0</v>
      </c>
      <c r="G77" s="162">
        <f t="shared" si="27"/>
        <v>0</v>
      </c>
      <c r="H77" s="162">
        <f t="shared" si="27"/>
        <v>0</v>
      </c>
      <c r="I77" s="162">
        <f t="shared" si="27"/>
        <v>0</v>
      </c>
      <c r="J77" s="162">
        <f t="shared" si="27"/>
        <v>0</v>
      </c>
      <c r="K77" s="162">
        <f t="shared" si="27"/>
        <v>0</v>
      </c>
      <c r="L77" s="162">
        <f t="shared" si="27"/>
        <v>0</v>
      </c>
    </row>
    <row r="78" spans="2:12" ht="15.75">
      <c r="B78" s="20" t="s">
        <v>208</v>
      </c>
      <c r="C78" s="162">
        <f>+C32/C10</f>
        <v>0.0008207037177743769</v>
      </c>
      <c r="D78" s="162">
        <f aca="true" t="shared" si="28" ref="D78:L78">+D32/D10</f>
        <v>0.0007701588643411981</v>
      </c>
      <c r="E78" s="162">
        <f t="shared" si="28"/>
        <v>0.0007226783981840318</v>
      </c>
      <c r="F78" s="162">
        <f t="shared" si="28"/>
        <v>0.0006780819644273726</v>
      </c>
      <c r="G78" s="162">
        <f t="shared" si="28"/>
        <v>0.0012723984283494795</v>
      </c>
      <c r="H78" s="162">
        <f t="shared" si="28"/>
        <v>0.0006120234242566211</v>
      </c>
      <c r="I78" s="162">
        <f t="shared" si="28"/>
        <v>0.0005887526797784427</v>
      </c>
      <c r="J78" s="162">
        <f t="shared" si="28"/>
        <v>0.0005663540774039946</v>
      </c>
      <c r="K78" s="162">
        <f t="shared" si="28"/>
        <v>0.000544795839721922</v>
      </c>
      <c r="L78" s="162">
        <f t="shared" si="28"/>
        <v>0</v>
      </c>
    </row>
    <row r="79" spans="2:12" ht="15.75">
      <c r="B79" s="20" t="s">
        <v>242</v>
      </c>
      <c r="C79" s="162">
        <f>+C33/C10</f>
        <v>0.023</v>
      </c>
      <c r="D79" s="162">
        <f aca="true" t="shared" si="29" ref="D79:L79">+D33/D10</f>
        <v>0.023</v>
      </c>
      <c r="E79" s="162">
        <f t="shared" si="29"/>
        <v>0.023</v>
      </c>
      <c r="F79" s="162">
        <f t="shared" si="29"/>
        <v>0.022999999999999996</v>
      </c>
      <c r="G79" s="162">
        <f t="shared" si="29"/>
        <v>0.023</v>
      </c>
      <c r="H79" s="162">
        <f t="shared" si="29"/>
        <v>0.023</v>
      </c>
      <c r="I79" s="162">
        <f t="shared" si="29"/>
        <v>0.023</v>
      </c>
      <c r="J79" s="162">
        <f t="shared" si="29"/>
        <v>0.023</v>
      </c>
      <c r="K79" s="162">
        <f t="shared" si="29"/>
        <v>0.023</v>
      </c>
      <c r="L79" s="162">
        <f t="shared" si="29"/>
        <v>0.023</v>
      </c>
    </row>
    <row r="80" spans="2:12" ht="15.75">
      <c r="B80" s="20" t="s">
        <v>241</v>
      </c>
      <c r="C80" s="162">
        <f aca="true" t="shared" si="30" ref="C80:L80">+C34/C10</f>
        <v>0.0002342834868756669</v>
      </c>
      <c r="D80" s="162">
        <f t="shared" si="30"/>
        <v>0.000513226762375839</v>
      </c>
      <c r="E80" s="162">
        <f t="shared" si="30"/>
        <v>0.0005137518629330845</v>
      </c>
      <c r="F80" s="162">
        <f t="shared" si="30"/>
        <v>0.0005142494211893168</v>
      </c>
      <c r="G80" s="162">
        <f t="shared" si="30"/>
        <v>0.0005147208406681062</v>
      </c>
      <c r="H80" s="162">
        <f t="shared" si="30"/>
        <v>0.0003166695454750885</v>
      </c>
      <c r="I80" s="162">
        <f t="shared" si="30"/>
        <v>0.0003168553080905837</v>
      </c>
      <c r="J80" s="162">
        <f t="shared" si="30"/>
        <v>0.0003170346839989074</v>
      </c>
      <c r="K80" s="162">
        <f t="shared" si="30"/>
        <v>0.00031720788787715956</v>
      </c>
      <c r="L80" s="162">
        <f t="shared" si="30"/>
        <v>0.00031737512764308626</v>
      </c>
    </row>
    <row r="81" spans="2:13" ht="15.75">
      <c r="B81" s="80" t="s">
        <v>59</v>
      </c>
      <c r="C81" s="160">
        <f aca="true" t="shared" si="31" ref="C81:L81">+C56-C61</f>
        <v>0.18381263243430424</v>
      </c>
      <c r="D81" s="160">
        <f t="shared" si="31"/>
        <v>0.19275740118592288</v>
      </c>
      <c r="E81" s="160">
        <f t="shared" si="31"/>
        <v>0.20171911371409346</v>
      </c>
      <c r="F81" s="160">
        <f t="shared" si="31"/>
        <v>0.2104402236111813</v>
      </c>
      <c r="G81" s="160">
        <f t="shared" si="31"/>
        <v>0.21225685208324363</v>
      </c>
      <c r="H81" s="160">
        <f t="shared" si="31"/>
        <v>0.20779900446258703</v>
      </c>
      <c r="I81" s="160">
        <f t="shared" si="31"/>
        <v>0.19615278957119597</v>
      </c>
      <c r="J81" s="160">
        <f t="shared" si="31"/>
        <v>0.18419096883606867</v>
      </c>
      <c r="K81" s="160">
        <f t="shared" si="31"/>
        <v>0.17191197771450561</v>
      </c>
      <c r="L81" s="160">
        <f t="shared" si="31"/>
        <v>0.1598381245438225</v>
      </c>
      <c r="M81" s="160">
        <f>SUM(C35:L35)/SUM(C10:L10)</f>
        <v>0.16800730676932074</v>
      </c>
    </row>
    <row r="82" spans="2:7" ht="4.5" customHeight="1">
      <c r="B82" s="1"/>
      <c r="C82" s="1"/>
      <c r="D82" s="1"/>
      <c r="E82" s="1"/>
      <c r="F82" s="1"/>
      <c r="G82" s="1"/>
    </row>
    <row r="83" spans="2:12" ht="15.75">
      <c r="B83" s="45" t="s">
        <v>49</v>
      </c>
      <c r="C83" s="161">
        <f>SUM(C84:C86)</f>
        <v>0.06719511689277712</v>
      </c>
      <c r="D83" s="161">
        <f aca="true" t="shared" si="32" ref="D83:L83">SUM(D84:D86)</f>
        <v>0.06305675701793559</v>
      </c>
      <c r="E83" s="161">
        <f t="shared" si="32"/>
        <v>0.0591692938513176</v>
      </c>
      <c r="F83" s="161">
        <f t="shared" si="32"/>
        <v>0.05551796083749112</v>
      </c>
      <c r="G83" s="161">
        <f t="shared" si="32"/>
        <v>0.052088810660556824</v>
      </c>
      <c r="H83" s="161">
        <f t="shared" si="32"/>
        <v>0.05010941786101085</v>
      </c>
      <c r="I83" s="161">
        <f t="shared" si="32"/>
        <v>0.04820412565686</v>
      </c>
      <c r="J83" s="161">
        <f t="shared" si="32"/>
        <v>0.04637024008745205</v>
      </c>
      <c r="K83" s="161">
        <f t="shared" si="32"/>
        <v>0.04460515937723236</v>
      </c>
      <c r="L83" s="161">
        <f t="shared" si="32"/>
        <v>0.04290637119912564</v>
      </c>
    </row>
    <row r="84" spans="2:12" ht="15.75">
      <c r="B84" s="20" t="s">
        <v>196</v>
      </c>
      <c r="C84" s="162">
        <f aca="true" t="shared" si="33" ref="C84:L84">+C38/C10</f>
        <v>0.06719511689277712</v>
      </c>
      <c r="D84" s="162">
        <f t="shared" si="33"/>
        <v>0.06305675701793559</v>
      </c>
      <c r="E84" s="162">
        <f t="shared" si="33"/>
        <v>0.0591692938513176</v>
      </c>
      <c r="F84" s="162">
        <f t="shared" si="33"/>
        <v>0.05551796083749112</v>
      </c>
      <c r="G84" s="162">
        <f t="shared" si="33"/>
        <v>0.052088810660556824</v>
      </c>
      <c r="H84" s="162">
        <f t="shared" si="33"/>
        <v>0.05010941786101085</v>
      </c>
      <c r="I84" s="162">
        <f t="shared" si="33"/>
        <v>0.04820412565686</v>
      </c>
      <c r="J84" s="162">
        <f t="shared" si="33"/>
        <v>0.04637024008745205</v>
      </c>
      <c r="K84" s="162">
        <f t="shared" si="33"/>
        <v>0.04460515937723236</v>
      </c>
      <c r="L84" s="162">
        <f t="shared" si="33"/>
        <v>0.04290637119912564</v>
      </c>
    </row>
    <row r="85" spans="2:12" ht="15.75" hidden="1">
      <c r="B85" s="20"/>
      <c r="C85" s="163"/>
      <c r="D85" s="4"/>
      <c r="E85" s="4"/>
      <c r="F85" s="4"/>
      <c r="G85" s="4"/>
      <c r="H85" s="4"/>
      <c r="I85" s="4"/>
      <c r="J85" s="4"/>
      <c r="K85" s="4"/>
      <c r="L85" s="4"/>
    </row>
    <row r="86" spans="2:12" ht="15.75" hidden="1">
      <c r="B86" s="20"/>
      <c r="C86" s="163"/>
      <c r="D86" s="4"/>
      <c r="E86" s="4"/>
      <c r="F86" s="4"/>
      <c r="G86" s="4"/>
      <c r="H86" s="4"/>
      <c r="I86" s="4"/>
      <c r="J86" s="4"/>
      <c r="K86" s="4"/>
      <c r="L86" s="4"/>
    </row>
    <row r="87" spans="2:13" ht="15.75">
      <c r="B87" s="80" t="s">
        <v>50</v>
      </c>
      <c r="C87" s="160">
        <f aca="true" t="shared" si="34" ref="C87:L87">+C81-C83</f>
        <v>0.11661751554152712</v>
      </c>
      <c r="D87" s="160">
        <f t="shared" si="34"/>
        <v>0.1297006441679873</v>
      </c>
      <c r="E87" s="160">
        <f t="shared" si="34"/>
        <v>0.14254981986277587</v>
      </c>
      <c r="F87" s="160">
        <f t="shared" si="34"/>
        <v>0.1549222627736902</v>
      </c>
      <c r="G87" s="160">
        <f t="shared" si="34"/>
        <v>0.1601680414226868</v>
      </c>
      <c r="H87" s="160">
        <f t="shared" si="34"/>
        <v>0.15768958660157617</v>
      </c>
      <c r="I87" s="160">
        <f t="shared" si="34"/>
        <v>0.14794866391433598</v>
      </c>
      <c r="J87" s="160">
        <f t="shared" si="34"/>
        <v>0.13782072874861662</v>
      </c>
      <c r="K87" s="160">
        <f t="shared" si="34"/>
        <v>0.12730681833727325</v>
      </c>
      <c r="L87" s="160">
        <f t="shared" si="34"/>
        <v>0.11693175334469688</v>
      </c>
      <c r="M87" s="160">
        <f>SUM(C41:L41)/SUM(C10:L10)</f>
        <v>0.11615194262772324</v>
      </c>
    </row>
    <row r="88" spans="2:7" ht="4.5" customHeight="1">
      <c r="B88" s="1"/>
      <c r="C88" s="1"/>
      <c r="D88" s="1"/>
      <c r="E88" s="1"/>
      <c r="F88" s="1"/>
      <c r="G88" s="1"/>
    </row>
    <row r="89" spans="2:12" ht="15.75">
      <c r="B89" s="45" t="s">
        <v>173</v>
      </c>
      <c r="C89" s="161">
        <f aca="true" t="shared" si="35" ref="C89:L89">+C90</f>
        <v>0.0018915024488633753</v>
      </c>
      <c r="D89" s="161">
        <f t="shared" si="35"/>
        <v>0.005595200047406415</v>
      </c>
      <c r="E89" s="161">
        <f t="shared" si="35"/>
        <v>0.009499651594641844</v>
      </c>
      <c r="F89" s="161">
        <f t="shared" si="35"/>
        <v>0.013713548809681248</v>
      </c>
      <c r="G89" s="161">
        <f t="shared" si="35"/>
        <v>0.01737032281187356</v>
      </c>
      <c r="H89" s="161">
        <f t="shared" si="35"/>
        <v>0.021560605724069305</v>
      </c>
      <c r="I89" s="161">
        <f t="shared" si="35"/>
        <v>0.026295837649417956</v>
      </c>
      <c r="J89" s="161">
        <f t="shared" si="35"/>
        <v>0.03065500076366419</v>
      </c>
      <c r="K89" s="161">
        <f t="shared" si="35"/>
        <v>0.03461847734909729</v>
      </c>
      <c r="L89" s="161">
        <f t="shared" si="35"/>
        <v>0.03722521656220747</v>
      </c>
    </row>
    <row r="90" spans="2:12" ht="15.75">
      <c r="B90" s="58" t="s">
        <v>174</v>
      </c>
      <c r="C90" s="164">
        <f>+C91-C92</f>
        <v>0.0018915024488633714</v>
      </c>
      <c r="D90" s="164">
        <f>+D91-D92</f>
        <v>0.005595200047406412</v>
      </c>
      <c r="E90" s="164">
        <f aca="true" t="shared" si="36" ref="E90:L90">+E91-E92</f>
        <v>0.009499651594642245</v>
      </c>
      <c r="F90" s="164">
        <f t="shared" si="36"/>
        <v>0.013713548809685228</v>
      </c>
      <c r="G90" s="164">
        <f t="shared" si="36"/>
        <v>0.0173703228119075</v>
      </c>
      <c r="H90" s="164">
        <f t="shared" si="36"/>
        <v>0.021560605724221478</v>
      </c>
      <c r="I90" s="164">
        <f t="shared" si="36"/>
        <v>0.02629583764987265</v>
      </c>
      <c r="J90" s="164">
        <f t="shared" si="36"/>
        <v>0.030655000764074042</v>
      </c>
      <c r="K90" s="164">
        <f t="shared" si="36"/>
        <v>0.03461847734303544</v>
      </c>
      <c r="L90" s="164">
        <f t="shared" si="36"/>
        <v>0.03722521652186778</v>
      </c>
    </row>
    <row r="91" spans="2:12" ht="15.75">
      <c r="B91" s="20" t="s">
        <v>175</v>
      </c>
      <c r="C91" s="162">
        <f aca="true" t="shared" si="37" ref="C91:L91">+C45/C10</f>
        <v>0.0018915024488633757</v>
      </c>
      <c r="D91" s="162">
        <f t="shared" si="37"/>
        <v>0.005595200047406401</v>
      </c>
      <c r="E91" s="162">
        <f t="shared" si="37"/>
        <v>0.009499651594642208</v>
      </c>
      <c r="F91" s="162">
        <f t="shared" si="37"/>
        <v>0.013713548809686626</v>
      </c>
      <c r="G91" s="162">
        <f t="shared" si="37"/>
        <v>0.017370322811920816</v>
      </c>
      <c r="H91" s="162">
        <f t="shared" si="37"/>
        <v>0.021560605724315715</v>
      </c>
      <c r="I91" s="162">
        <f t="shared" si="37"/>
        <v>0.02629583765025542</v>
      </c>
      <c r="J91" s="162">
        <f t="shared" si="37"/>
        <v>0.030655000765058102</v>
      </c>
      <c r="K91" s="162">
        <f t="shared" si="37"/>
        <v>0.03461847734359872</v>
      </c>
      <c r="L91" s="162">
        <f t="shared" si="37"/>
        <v>0.03722521650981163</v>
      </c>
    </row>
    <row r="92" spans="2:12" ht="15.75">
      <c r="B92" s="20" t="s">
        <v>176</v>
      </c>
      <c r="C92" s="162">
        <f aca="true" t="shared" si="38" ref="C92:L92">+C46/C10</f>
        <v>0</v>
      </c>
      <c r="D92" s="162">
        <f t="shared" si="38"/>
        <v>0</v>
      </c>
      <c r="E92" s="162">
        <f t="shared" si="38"/>
        <v>0</v>
      </c>
      <c r="F92" s="162">
        <f t="shared" si="38"/>
        <v>0</v>
      </c>
      <c r="G92" s="162">
        <f t="shared" si="38"/>
        <v>0</v>
      </c>
      <c r="H92" s="162">
        <f t="shared" si="38"/>
        <v>0</v>
      </c>
      <c r="I92" s="162">
        <f t="shared" si="38"/>
        <v>0</v>
      </c>
      <c r="J92" s="162">
        <f t="shared" si="38"/>
        <v>0</v>
      </c>
      <c r="K92" s="162">
        <f t="shared" si="38"/>
        <v>0</v>
      </c>
      <c r="L92" s="162">
        <f t="shared" si="38"/>
        <v>0</v>
      </c>
    </row>
    <row r="93" spans="2:12" ht="15.75">
      <c r="B93" s="60" t="s">
        <v>51</v>
      </c>
      <c r="C93" s="165">
        <f>+C87+C89</f>
        <v>0.1185090179903905</v>
      </c>
      <c r="D93" s="165">
        <f>+D87+D89</f>
        <v>0.1352958442153937</v>
      </c>
      <c r="E93" s="165">
        <f aca="true" t="shared" si="39" ref="E93:L93">+E87+E89</f>
        <v>0.1520494714574177</v>
      </c>
      <c r="F93" s="165">
        <f t="shared" si="39"/>
        <v>0.16863581158337146</v>
      </c>
      <c r="G93" s="165">
        <f t="shared" si="39"/>
        <v>0.17753836423456038</v>
      </c>
      <c r="H93" s="165">
        <f t="shared" si="39"/>
        <v>0.17925019232564549</v>
      </c>
      <c r="I93" s="165">
        <f t="shared" si="39"/>
        <v>0.17424450156375393</v>
      </c>
      <c r="J93" s="165">
        <f t="shared" si="39"/>
        <v>0.1684757295122808</v>
      </c>
      <c r="K93" s="165">
        <f t="shared" si="39"/>
        <v>0.16192529568637054</v>
      </c>
      <c r="L93" s="165">
        <f t="shared" si="39"/>
        <v>0.15415696990690436</v>
      </c>
    </row>
    <row r="94" spans="2:12" ht="15.75">
      <c r="B94" s="59" t="s">
        <v>177</v>
      </c>
      <c r="C94" s="162">
        <f aca="true" t="shared" si="40" ref="C94:L94">+C48/C10</f>
        <v>0.031518422059740835</v>
      </c>
      <c r="D94" s="162">
        <f t="shared" si="40"/>
        <v>0.037057628591079916</v>
      </c>
      <c r="E94" s="162">
        <f t="shared" si="40"/>
        <v>0.0425863255809476</v>
      </c>
      <c r="F94" s="162">
        <f t="shared" si="40"/>
        <v>0.04805981782250896</v>
      </c>
      <c r="G94" s="162">
        <f t="shared" si="40"/>
        <v>0.050997660197387676</v>
      </c>
      <c r="H94" s="162">
        <f t="shared" si="40"/>
        <v>0.0515625634674002</v>
      </c>
      <c r="I94" s="162">
        <f t="shared" si="40"/>
        <v>0.049910685515957606</v>
      </c>
      <c r="J94" s="162">
        <f t="shared" si="40"/>
        <v>0.04800699074000977</v>
      </c>
      <c r="K94" s="162">
        <f t="shared" si="40"/>
        <v>0.04584534758354544</v>
      </c>
      <c r="L94" s="162">
        <f t="shared" si="40"/>
        <v>0.04328180009872589</v>
      </c>
    </row>
    <row r="95" spans="2:13" ht="15.75">
      <c r="B95" s="57" t="s">
        <v>52</v>
      </c>
      <c r="C95" s="166">
        <f aca="true" t="shared" si="41" ref="C95:L95">+C93-C94</f>
        <v>0.08699059593064967</v>
      </c>
      <c r="D95" s="166">
        <f t="shared" si="41"/>
        <v>0.09823821562431378</v>
      </c>
      <c r="E95" s="166">
        <f t="shared" si="41"/>
        <v>0.1094631458764701</v>
      </c>
      <c r="F95" s="166">
        <f t="shared" si="41"/>
        <v>0.1205759937608625</v>
      </c>
      <c r="G95" s="166">
        <f t="shared" si="41"/>
        <v>0.1265407040371727</v>
      </c>
      <c r="H95" s="166">
        <f t="shared" si="41"/>
        <v>0.12768762885824528</v>
      </c>
      <c r="I95" s="166">
        <f t="shared" si="41"/>
        <v>0.12433381604779632</v>
      </c>
      <c r="J95" s="166">
        <f t="shared" si="41"/>
        <v>0.12046873877227102</v>
      </c>
      <c r="K95" s="166">
        <f t="shared" si="41"/>
        <v>0.1160799481028251</v>
      </c>
      <c r="L95" s="166">
        <f t="shared" si="41"/>
        <v>0.11087516980817846</v>
      </c>
      <c r="M95" s="166">
        <f>SUM(C49:L49)/SUM(C10:L10)</f>
        <v>0.09220017061331058</v>
      </c>
    </row>
    <row r="96" spans="2:13" ht="15.75">
      <c r="B96" s="20" t="s">
        <v>255</v>
      </c>
      <c r="C96" s="162">
        <f>+C52/C10</f>
        <v>0.09361751554152742</v>
      </c>
      <c r="D96" s="162">
        <f aca="true" t="shared" si="42" ref="D96:L96">+D52/D10</f>
        <v>0.10670064416798736</v>
      </c>
      <c r="E96" s="162">
        <f t="shared" si="42"/>
        <v>0.11954981986277566</v>
      </c>
      <c r="F96" s="162">
        <f t="shared" si="42"/>
        <v>0.13192226277368466</v>
      </c>
      <c r="G96" s="162">
        <f t="shared" si="42"/>
        <v>0.13716804142263966</v>
      </c>
      <c r="H96" s="162">
        <f t="shared" si="42"/>
        <v>0.1346895866013297</v>
      </c>
      <c r="I96" s="162">
        <f t="shared" si="42"/>
        <v>0.12494866391349833</v>
      </c>
      <c r="J96" s="162">
        <f t="shared" si="42"/>
        <v>0.11482072874722253</v>
      </c>
      <c r="K96" s="162">
        <f t="shared" si="42"/>
        <v>0.10430681834277168</v>
      </c>
      <c r="L96" s="162">
        <f t="shared" si="42"/>
        <v>0.09393175339709278</v>
      </c>
      <c r="M96" s="162">
        <f>SUM(C52:L52)/SUM(C10:L10)</f>
        <v>0.11615194263441818</v>
      </c>
    </row>
    <row r="97" spans="2:13" ht="15.75">
      <c r="B97" s="20" t="s">
        <v>256</v>
      </c>
      <c r="C97" s="162">
        <f>+C53/C10</f>
        <v>0.10357198164398196</v>
      </c>
      <c r="D97" s="162">
        <f aca="true" t="shared" si="43" ref="D97:L97">+D53/D10</f>
        <v>0.11633499172731478</v>
      </c>
      <c r="E97" s="162">
        <f t="shared" si="43"/>
        <v>0.12862951559000485</v>
      </c>
      <c r="F97" s="162">
        <f t="shared" si="43"/>
        <v>0.14048093596040728</v>
      </c>
      <c r="G97" s="162">
        <f t="shared" si="43"/>
        <v>0.1519132416482495</v>
      </c>
      <c r="H97" s="162">
        <f t="shared" si="43"/>
        <v>0.14228089682448292</v>
      </c>
      <c r="I97" s="162">
        <f t="shared" si="43"/>
        <v>0.13227082327650555</v>
      </c>
      <c r="J97" s="162">
        <f t="shared" si="43"/>
        <v>0.12188394336157655</v>
      </c>
      <c r="K97" s="162">
        <f t="shared" si="43"/>
        <v>0.11112092432471797</v>
      </c>
      <c r="L97" s="162">
        <f t="shared" si="43"/>
        <v>0.09998218233791428</v>
      </c>
      <c r="M97" s="162">
        <f>SUM(C53:L53)/SUM(C10:L10)</f>
        <v>0.1246620201338461</v>
      </c>
    </row>
    <row r="99" spans="2:13" ht="15.75">
      <c r="B99" s="57" t="s">
        <v>237</v>
      </c>
      <c r="C99" s="166">
        <f>+C63+C66+C69+C73+C84</f>
        <v>0.7773734919611501</v>
      </c>
      <c r="D99" s="166">
        <f aca="true" t="shared" si="44" ref="D99:L99">+D63+D66+D69+D73+D84</f>
        <v>0.7684273669976526</v>
      </c>
      <c r="E99" s="166">
        <f t="shared" si="44"/>
        <v>0.7597320658705436</v>
      </c>
      <c r="F99" s="166">
        <f t="shared" si="44"/>
        <v>0.751274925677855</v>
      </c>
      <c r="G99" s="166">
        <f t="shared" si="44"/>
        <v>0.7430439723013038</v>
      </c>
      <c r="H99" s="166">
        <f t="shared" si="44"/>
        <v>0.753689744743196</v>
      </c>
      <c r="I99" s="166">
        <f t="shared" si="44"/>
        <v>0.7646354490833938</v>
      </c>
      <c r="J99" s="166">
        <f t="shared" si="44"/>
        <v>0.7758822559408034</v>
      </c>
      <c r="K99" s="166">
        <f t="shared" si="44"/>
        <v>0.7874315058125214</v>
      </c>
      <c r="L99" s="166">
        <f t="shared" si="44"/>
        <v>0.7992847073500292</v>
      </c>
      <c r="M99" s="166">
        <f>(SUM(C17:L17)+SUM(C20:L20)+SUM(C23:L23)+SUM(C27:L27)+SUM(C38:L38))/SUM(C10:L10)</f>
        <v>0.7690659373198577</v>
      </c>
    </row>
  </sheetData>
  <sheetProtection/>
  <printOptions/>
  <pageMargins left="0.75" right="0.75" top="1" bottom="1" header="0" footer="0"/>
  <pageSetup horizontalDpi="300" verticalDpi="300" orientation="portrait" paperSize="9" r:id="rId1"/>
  <ignoredErrors>
    <ignoredError sqref="C74 C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2">
      <selection activeCell="C21" sqref="C21"/>
    </sheetView>
  </sheetViews>
  <sheetFormatPr defaultColWidth="11.421875" defaultRowHeight="12.75"/>
  <cols>
    <col min="1" max="1" width="1.7109375" style="141" customWidth="1"/>
    <col min="2" max="2" width="56.8515625" style="141" customWidth="1"/>
    <col min="3" max="3" width="15.28125" style="141" bestFit="1" customWidth="1"/>
    <col min="4" max="4" width="13.7109375" style="141" bestFit="1" customWidth="1"/>
    <col min="5" max="5" width="14.140625" style="141" bestFit="1" customWidth="1"/>
    <col min="6" max="6" width="15.28125" style="141" bestFit="1" customWidth="1"/>
    <col min="7" max="7" width="14.140625" style="141" bestFit="1" customWidth="1"/>
    <col min="8" max="12" width="12.421875" style="141" bestFit="1" customWidth="1"/>
    <col min="13" max="13" width="11.421875" style="141" customWidth="1"/>
    <col min="14" max="14" width="12.421875" style="141" bestFit="1" customWidth="1"/>
    <col min="15" max="16384" width="11.421875" style="141" customWidth="1"/>
  </cols>
  <sheetData>
    <row r="1" spans="1:2" s="145" customFormat="1" ht="4.5" customHeight="1">
      <c r="A1" s="148"/>
      <c r="B1" s="148"/>
    </row>
    <row r="2" spans="1:12" s="145" customFormat="1" ht="15.75">
      <c r="A2" s="148"/>
      <c r="B2" s="150" t="s">
        <v>202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45" customFormat="1" ht="15.75">
      <c r="A3" s="148"/>
      <c r="B3" s="149" t="s">
        <v>203</v>
      </c>
      <c r="C3" s="146"/>
      <c r="D3" s="151"/>
      <c r="E3" s="151"/>
      <c r="F3" s="151"/>
      <c r="G3" s="152"/>
      <c r="H3" s="151"/>
      <c r="I3" s="151"/>
      <c r="J3" s="151"/>
      <c r="K3" s="151"/>
      <c r="L3" s="151"/>
    </row>
    <row r="4" spans="1:12" s="145" customFormat="1" ht="4.5" customHeight="1">
      <c r="A4" s="148"/>
      <c r="B4" s="147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145" customFormat="1" ht="15.75">
      <c r="A5" s="148"/>
      <c r="B5" s="150" t="s">
        <v>201</v>
      </c>
      <c r="C5" s="151"/>
      <c r="D5" s="146"/>
      <c r="E5" s="146"/>
      <c r="F5" s="146"/>
      <c r="G5" s="146"/>
      <c r="H5" s="146"/>
      <c r="I5" s="146"/>
      <c r="J5" s="146"/>
      <c r="K5" s="146"/>
      <c r="L5" s="146"/>
    </row>
    <row r="6" spans="1:12" s="145" customFormat="1" ht="15.75">
      <c r="A6" s="148"/>
      <c r="B6" s="149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51"/>
      <c r="D6" s="146"/>
      <c r="E6" s="146"/>
      <c r="F6" s="146"/>
      <c r="G6" s="146"/>
      <c r="H6" s="146"/>
      <c r="I6" s="146"/>
      <c r="J6" s="146"/>
      <c r="K6" s="146"/>
      <c r="L6" s="146"/>
    </row>
    <row r="7" spans="1:12" s="145" customFormat="1" ht="4.5" customHeight="1">
      <c r="A7" s="148"/>
      <c r="B7" s="147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s="145" customFormat="1" ht="15.75">
      <c r="A8" s="148"/>
      <c r="B8" s="53" t="s">
        <v>204</v>
      </c>
      <c r="C8" s="54">
        <f>+'[1]Financieros'!D7</f>
        <v>2010</v>
      </c>
      <c r="D8" s="54">
        <f>+'[1]Financieros'!E7</f>
        <v>2011</v>
      </c>
      <c r="E8" s="54">
        <f>+'[1]Financieros'!F7</f>
        <v>2012</v>
      </c>
      <c r="F8" s="54">
        <f>+'[1]Financieros'!G7</f>
        <v>2013</v>
      </c>
      <c r="G8" s="54">
        <f>+'[1]Financieros'!H7</f>
        <v>2014</v>
      </c>
      <c r="H8" s="54">
        <f>+'[1]Financieros'!I7</f>
        <v>2015</v>
      </c>
      <c r="I8" s="54">
        <f>+'[1]Financieros'!J7</f>
        <v>2016</v>
      </c>
      <c r="J8" s="54">
        <f>+'[1]Financieros'!K7</f>
        <v>2017</v>
      </c>
      <c r="K8" s="54">
        <f>+'[1]Financieros'!L7</f>
        <v>2018</v>
      </c>
      <c r="L8" s="54">
        <f>+'[1]Financieros'!M7</f>
        <v>2019</v>
      </c>
    </row>
    <row r="9" spans="2:12" ht="15.75">
      <c r="B9" s="144" t="s">
        <v>205</v>
      </c>
      <c r="C9" s="143">
        <f>+'[2]Demanda'!D18*1000000</f>
        <v>115675751.40105069</v>
      </c>
      <c r="D9" s="143">
        <f>+'[2]Demanda'!E18*1000000</f>
        <v>122616296.51840523</v>
      </c>
      <c r="E9" s="143">
        <f>+'[2]Demanda'!F18*1000000</f>
        <v>129973274.34479856</v>
      </c>
      <c r="F9" s="143">
        <f>+'[2]Demanda'!G18*1000000</f>
        <v>137771670.8428928</v>
      </c>
      <c r="G9" s="143">
        <f>+'[2]Demanda'!H18*1000000</f>
        <v>146037971.1331171</v>
      </c>
      <c r="H9" s="143">
        <f>+'[2]Demanda'!I18*1000000</f>
        <v>154800249.37393433</v>
      </c>
      <c r="I9" s="143">
        <f>+'[2]Demanda'!J18*1000000</f>
        <v>164088264.3075704</v>
      </c>
      <c r="J9" s="143">
        <f>+'[2]Demanda'!K18*1000000</f>
        <v>173933560.13549662</v>
      </c>
      <c r="K9" s="143">
        <f>+'[2]Demanda'!L18*1000000</f>
        <v>184369573.7112667</v>
      </c>
      <c r="L9" s="143">
        <f>+'[2]Demanda'!M18*1000000</f>
        <v>195431748.09964138</v>
      </c>
    </row>
    <row r="10" spans="2:12" ht="15.75">
      <c r="B10" s="144" t="s">
        <v>206</v>
      </c>
      <c r="C10" s="143">
        <f>+'[2]Transporte'!D17</f>
        <v>12588710.15332243</v>
      </c>
      <c r="D10" s="143">
        <f>+'[2]Transporte'!E17</f>
        <v>13344032.766144808</v>
      </c>
      <c r="E10" s="143">
        <f>+'[2]Transporte'!F17</f>
        <v>14144674.735953916</v>
      </c>
      <c r="F10" s="143">
        <f>+'[2]Transporte'!G17</f>
        <v>14993355.22418199</v>
      </c>
      <c r="G10" s="143">
        <f>+'[2]Transporte'!H17</f>
        <v>15892956.541948002</v>
      </c>
      <c r="H10" s="143">
        <f>+'[2]Transporte'!I17</f>
        <v>16846533.931508057</v>
      </c>
      <c r="I10" s="143">
        <f>+'[2]Transporte'!J17</f>
        <v>17857325.964264307</v>
      </c>
      <c r="J10" s="143">
        <f>+'[2]Transporte'!K17</f>
        <v>18928765.51879788</v>
      </c>
      <c r="K10" s="143">
        <f>+'[2]Transporte'!L17</f>
        <v>20064491.44640412</v>
      </c>
      <c r="L10" s="143">
        <f>+'[2]Transporte'!M17</f>
        <v>21268360.92945544</v>
      </c>
    </row>
    <row r="11" spans="1:12" s="145" customFormat="1" ht="15.75">
      <c r="A11" s="148"/>
      <c r="B11" s="56" t="s">
        <v>48</v>
      </c>
      <c r="C11" s="154">
        <f>+'P y G'!C11</f>
        <v>43366.28660231339</v>
      </c>
      <c r="D11" s="154">
        <f>+'P y G'!D11</f>
        <v>46271.44783629142</v>
      </c>
      <c r="E11" s="154">
        <f>+'P y G'!E11</f>
        <v>49371.22941839397</v>
      </c>
      <c r="F11" s="154">
        <f>+'P y G'!F11</f>
        <v>52678.66920671337</v>
      </c>
      <c r="G11" s="154">
        <f>+'P y G'!G11</f>
        <v>56207.67848159865</v>
      </c>
      <c r="H11" s="154">
        <f>+'P y G'!H11</f>
        <v>58467.37903255257</v>
      </c>
      <c r="I11" s="154">
        <f>+'P y G'!I11</f>
        <v>60817.92565148017</v>
      </c>
      <c r="J11" s="154">
        <f>+'P y G'!J11</f>
        <v>63262.97059578464</v>
      </c>
      <c r="K11" s="154">
        <f>+'P y G'!K11</f>
        <v>65806.31295348541</v>
      </c>
      <c r="L11" s="154">
        <f>+'P y G'!L11</f>
        <v>68451.9045462056</v>
      </c>
    </row>
    <row r="12" spans="1:12" s="145" customFormat="1" ht="15.75">
      <c r="A12" s="148"/>
      <c r="B12" s="56" t="s">
        <v>212</v>
      </c>
      <c r="C12" s="154">
        <f>SUM(C13:C22)</f>
        <v>40159.487915002515</v>
      </c>
      <c r="D12" s="154">
        <f aca="true" t="shared" si="0" ref="D12:L12">SUM(D13:D22)</f>
        <v>42179.75883564438</v>
      </c>
      <c r="E12" s="154">
        <f t="shared" si="0"/>
        <v>44307.15967292343</v>
      </c>
      <c r="F12" s="154">
        <f t="shared" si="0"/>
        <v>46560.43859343508</v>
      </c>
      <c r="G12" s="154">
        <f t="shared" si="0"/>
        <v>49328.99553342943</v>
      </c>
      <c r="H12" s="154">
        <f t="shared" si="0"/>
        <v>51427.86879316626</v>
      </c>
      <c r="I12" s="154">
        <f t="shared" si="0"/>
        <v>54065.60313716774</v>
      </c>
      <c r="J12" s="154">
        <f t="shared" si="0"/>
        <v>56857.65257175698</v>
      </c>
      <c r="K12" s="154">
        <f t="shared" si="0"/>
        <v>59813.062867491884</v>
      </c>
      <c r="L12" s="154">
        <f t="shared" si="0"/>
        <v>62905.00457472286</v>
      </c>
    </row>
    <row r="13" spans="1:12" s="145" customFormat="1" ht="15.75">
      <c r="A13" s="148"/>
      <c r="B13" s="20" t="s">
        <v>187</v>
      </c>
      <c r="C13" s="143">
        <f>IF('[1]Tablero de Control'!$B$7='[1]Tablero de Control'!$S$7,'P y G'!C17+'P y G'!C18,0)</f>
        <v>8702.69664</v>
      </c>
      <c r="D13" s="143">
        <f>IF('[1]Tablero de Control'!$B$7='[1]Tablero de Control'!$S$7,'P y G'!D17+'P y G'!D18,0)</f>
        <v>9068.272642721504</v>
      </c>
      <c r="E13" s="143">
        <f>IF('[1]Tablero de Control'!$B$7='[1]Tablero de Control'!$S$7,'P y G'!E17+'P y G'!E18,0)</f>
        <v>9455.77151649594</v>
      </c>
      <c r="F13" s="143">
        <f>IF('[1]Tablero de Control'!$B$7='[1]Tablero de Control'!$S$7,'P y G'!F17+'P y G'!F18,0)</f>
        <v>9866.50816524485</v>
      </c>
      <c r="G13" s="143">
        <f>IF('[1]Tablero de Control'!$B$7='[1]Tablero de Control'!$S$7,'P y G'!G17+'P y G'!G18,0)</f>
        <v>10301.876368356463</v>
      </c>
      <c r="H13" s="143">
        <f>IF('[1]Tablero de Control'!$B$7='[1]Tablero de Control'!$S$7,'P y G'!H17+'P y G'!H18,0)</f>
        <v>10763.353508800214</v>
      </c>
      <c r="I13" s="143">
        <f>IF('[1]Tablero de Control'!$B$7='[1]Tablero de Control'!$S$7,'P y G'!I17+'P y G'!I18,0)</f>
        <v>11252.505599323718</v>
      </c>
      <c r="J13" s="143">
        <f>IF('[1]Tablero de Control'!$B$7='[1]Tablero de Control'!$S$7,'P y G'!J17+'P y G'!J18,0)</f>
        <v>11770.992588866828</v>
      </c>
      <c r="K13" s="143">
        <f>IF('[1]Tablero de Control'!$B$7='[1]Tablero de Control'!$S$7,'P y G'!K17+'P y G'!K18,0)</f>
        <v>12320.57400134128</v>
      </c>
      <c r="L13" s="143">
        <f>IF('[1]Tablero de Control'!$B$7='[1]Tablero de Control'!$S$7,'P y G'!L17+'P y G'!L18,0)</f>
        <v>12903.11490924851</v>
      </c>
    </row>
    <row r="14" spans="1:12" s="145" customFormat="1" ht="15.75">
      <c r="A14" s="148"/>
      <c r="B14" s="20" t="s">
        <v>190</v>
      </c>
      <c r="C14" s="143">
        <f>IF('[1]Tablero de Control'!$B$7='[1]Tablero de Control'!$S$7,'[2]Clasificación'!D48+'[2]Clasificación'!D63*C9/C141,IF('[1]Tablero de Control'!$B$7='[1]Tablero de Control'!$S$8,'[2]Clasificación'!D48+'[2]Clasificación'!D63*C9/C141+'[2]Clasificación'!D67*C9/C141,IF('[1]Tablero de Control'!$B$7='[1]Tablero de Control'!$S$9,'[2]Clasificación'!D48+'[2]Clasificación'!D63*C9/C141+'[2]Clasificación'!D67*C9/C141,0)))</f>
        <v>1460.1857763014075</v>
      </c>
      <c r="D14" s="143">
        <f>IF('[1]Tablero de Control'!$B$7='[1]Tablero de Control'!$S$7,'[2]Clasificación'!E48+'[2]Clasificación'!E63*D9/D141,IF('[1]Tablero de Control'!$B$7='[1]Tablero de Control'!$S$8,'[2]Clasificación'!E48+'[2]Clasificación'!E63*D9/D141+'[2]Clasificación'!E67*D9/D141,IF('[1]Tablero de Control'!$B$7='[1]Tablero de Control'!$S$9,'[2]Clasificación'!E48+'[2]Clasificación'!E63*D9/D141+'[2]Clasificación'!E67*D9/D141,0)))</f>
        <v>1531.6747470236653</v>
      </c>
      <c r="E14" s="143">
        <f>IF('[1]Tablero de Control'!$B$7='[1]Tablero de Control'!$S$7,'[2]Clasificación'!F48+'[2]Clasificación'!F63*E9/E141,IF('[1]Tablero de Control'!$B$7='[1]Tablero de Control'!$S$8,'[2]Clasificación'!F48+'[2]Clasificación'!F63*E9/E141+'[2]Clasificación'!F67*E9/E141,IF('[1]Tablero de Control'!$B$7='[1]Tablero de Control'!$S$9,'[2]Clasificación'!F48+'[2]Clasificación'!F63*E9/E141+'[2]Clasificación'!F67*E9/E141,0)))</f>
        <v>1607.2509125596284</v>
      </c>
      <c r="F14" s="143">
        <f>IF('[1]Tablero de Control'!$B$7='[1]Tablero de Control'!$S$7,'[2]Clasificación'!G48+'[2]Clasificación'!G63*F9/F141,IF('[1]Tablero de Control'!$B$7='[1]Tablero de Control'!$S$8,'[2]Clasificación'!G48+'[2]Clasificación'!G63*F9/F141+'[2]Clasificación'!G67*F9/F141,IF('[1]Tablero de Control'!$B$7='[1]Tablero de Control'!$S$9,'[2]Clasificación'!G48+'[2]Clasificación'!G63*F9/F141+'[2]Clasificación'!G67*F9/F141,0)))</f>
        <v>1687.148288293674</v>
      </c>
      <c r="G14" s="143">
        <f>IF('[1]Tablero de Control'!$B$7='[1]Tablero de Control'!$S$7,'[2]Clasificación'!H48+'[2]Clasificación'!H63*G9/G141,IF('[1]Tablero de Control'!$B$7='[1]Tablero de Control'!$S$8,'[2]Clasificación'!H48+'[2]Clasificación'!H63*G9/G141+'[2]Clasificación'!H67*G9/G141,IF('[1]Tablero de Control'!$B$7='[1]Tablero de Control'!$S$9,'[2]Clasificación'!H48+'[2]Clasificación'!H63*G9/G141+'[2]Clasificación'!H67*G9/G141,0)))</f>
        <v>1771.6143028602833</v>
      </c>
      <c r="H14" s="143">
        <f>IF('[1]Tablero de Control'!$B$7='[1]Tablero de Control'!$S$7,'[2]Clasificación'!I48+'[2]Clasificación'!I63*H9/H141,IF('[1]Tablero de Control'!$B$7='[1]Tablero de Control'!$S$8,'[2]Clasificación'!I48+'[2]Clasificación'!I63*H9/H141+'[2]Clasificación'!I67*H9/H141,IF('[1]Tablero de Control'!$B$7='[1]Tablero de Control'!$S$9,'[2]Clasificación'!I48+'[2]Clasificación'!I63*H9/H141+'[2]Clasificación'!I67*H9/H141,0)))</f>
        <v>1860.910567088206</v>
      </c>
      <c r="I14" s="143">
        <f>IF('[1]Tablero de Control'!$B$7='[1]Tablero de Control'!$S$7,'[2]Clasificación'!J48+'[2]Clasificación'!J63*I9/I141,IF('[1]Tablero de Control'!$B$7='[1]Tablero de Control'!$S$8,'[2]Clasificación'!J48+'[2]Clasificación'!J63*I9/I141+'[2]Clasificación'!J67*I9/I141,IF('[1]Tablero de Control'!$B$7='[1]Tablero de Control'!$S$9,'[2]Clasificación'!J48+'[2]Clasificación'!J63*I9/I141+'[2]Clasificación'!J67*I9/I141,0)))</f>
        <v>1955.3136900252002</v>
      </c>
      <c r="J14" s="143">
        <f>IF('[1]Tablero de Control'!$B$7='[1]Tablero de Control'!$S$7,'[2]Clasificación'!K48+'[2]Clasificación'!K63*J9/J141,IF('[1]Tablero de Control'!$B$7='[1]Tablero de Control'!$S$8,'[2]Clasificación'!K48+'[2]Clasificación'!K63*J9/J141+'[2]Clasificación'!K67*J9/J141,IF('[1]Tablero de Control'!$B$7='[1]Tablero de Control'!$S$9,'[2]Clasificación'!K48+'[2]Clasificación'!K63*J9/J141+'[2]Clasificación'!K67*J9/J141,0)))</f>
        <v>2055.116137533118</v>
      </c>
      <c r="K14" s="143">
        <f>IF('[1]Tablero de Control'!$B$7='[1]Tablero de Control'!$S$7,'[2]Clasificación'!L48+'[2]Clasificación'!L63*K9/K141,IF('[1]Tablero de Control'!$B$7='[1]Tablero de Control'!$S$8,'[2]Clasificación'!L48+'[2]Clasificación'!L63*K9/K141+'[2]Clasificación'!L67*K9/K141,IF('[1]Tablero de Control'!$B$7='[1]Tablero de Control'!$S$9,'[2]Clasificación'!L48+'[2]Clasificación'!L63*K9/K141+'[2]Clasificación'!L67*K9/K141,0)))</f>
        <v>2160.6271430392535</v>
      </c>
      <c r="L14" s="143">
        <f>IF('[1]Tablero de Control'!$B$7='[1]Tablero de Control'!$S$7,'[2]Clasificación'!M48+'[2]Clasificación'!M63*L9/L141,IF('[1]Tablero de Control'!$B$7='[1]Tablero de Control'!$S$8,'[2]Clasificación'!M48+'[2]Clasificación'!M63*L9/L141+'[2]Clasificación'!M67*L9/L141,IF('[1]Tablero de Control'!$B$7='[1]Tablero de Control'!$S$9,'[2]Clasificación'!M48+'[2]Clasificación'!M63*L9/L141+'[2]Clasificación'!M67*L9/L141,0)))</f>
        <v>2272.1736699127346</v>
      </c>
    </row>
    <row r="15" spans="1:12" s="145" customFormat="1" ht="15.75">
      <c r="A15" s="148"/>
      <c r="B15" s="20" t="s">
        <v>191</v>
      </c>
      <c r="C15" s="143">
        <f>'P y G'!C23*C9/C141</f>
        <v>7194.383180414157</v>
      </c>
      <c r="D15" s="143">
        <f>'P y G'!D23*D9/D141</f>
        <v>7616.417327131128</v>
      </c>
      <c r="E15" s="143">
        <f>'P y G'!E23*E9/E141</f>
        <v>8063.195791999107</v>
      </c>
      <c r="F15" s="143">
        <f>'P y G'!F23*F9/F141</f>
        <v>8536.168570267693</v>
      </c>
      <c r="G15" s="143">
        <f>'P y G'!G23*G9/G141</f>
        <v>9036.870577071086</v>
      </c>
      <c r="H15" s="143">
        <f>'P y G'!H23*H9/H141</f>
        <v>9566.926613554671</v>
      </c>
      <c r="I15" s="143">
        <f>'P y G'!I23*I9/I141</f>
        <v>10128.05664034335</v>
      </c>
      <c r="J15" s="143">
        <f>'P y G'!J23*J9/J141</f>
        <v>10722.081334542663</v>
      </c>
      <c r="K15" s="143">
        <f>'P y G'!K23*K9/K141</f>
        <v>11350.927988145744</v>
      </c>
      <c r="L15" s="143">
        <f>'P y G'!L23*L9/L141</f>
        <v>12016.636747382225</v>
      </c>
    </row>
    <row r="16" spans="1:13" s="145" customFormat="1" ht="15.75">
      <c r="A16" s="148"/>
      <c r="B16" s="20" t="s">
        <v>192</v>
      </c>
      <c r="C16" s="143">
        <f>'P y G'!C25*C10/C142</f>
        <v>1641.310671205369</v>
      </c>
      <c r="D16" s="143">
        <f>'P y G'!D25*D10/D142</f>
        <v>1739.7893119500602</v>
      </c>
      <c r="E16" s="143">
        <f>'P y G'!E25*E10/E142</f>
        <v>1844.1766711677756</v>
      </c>
      <c r="F16" s="143">
        <f>'P y G'!F25*F10/F142</f>
        <v>1954.8272719685967</v>
      </c>
      <c r="G16" s="143">
        <f>'P y G'!G25*G10/G142</f>
        <v>2072.1169088493125</v>
      </c>
      <c r="H16" s="143">
        <f>'P y G'!H25*H10/H142</f>
        <v>2196.4439229947625</v>
      </c>
      <c r="I16" s="143">
        <f>'P y G'!I25*I10/I142</f>
        <v>2328.2305579658073</v>
      </c>
      <c r="J16" s="143">
        <f>'P y G'!J25*J10/J142</f>
        <v>2467.924391010597</v>
      </c>
      <c r="K16" s="143">
        <f>'P y G'!K25*K10/K142</f>
        <v>2615.9998540120846</v>
      </c>
      <c r="L16" s="143">
        <f>'P y G'!L25*L10/L142</f>
        <v>2772.9598447661124</v>
      </c>
      <c r="M16" s="171"/>
    </row>
    <row r="17" spans="1:12" s="145" customFormat="1" ht="15.75">
      <c r="A17" s="148"/>
      <c r="B17" s="20" t="s">
        <v>194</v>
      </c>
      <c r="C17" s="143">
        <f>+'P y G'!C27*C9/C141</f>
        <v>16742.68073883778</v>
      </c>
      <c r="D17" s="143">
        <f>+'P y G'!D27*D9/D141</f>
        <v>17724.833454668424</v>
      </c>
      <c r="E17" s="143">
        <f>+'P y G'!E27*E9/E141</f>
        <v>18764.570845726048</v>
      </c>
      <c r="F17" s="143">
        <f>+'P y G'!F27*F9/F141</f>
        <v>19865.267323260083</v>
      </c>
      <c r="G17" s="143">
        <f>+'P y G'!G27*G9/G141</f>
        <v>21030.49492303912</v>
      </c>
      <c r="H17" s="143">
        <f>+'P y G'!H27*H9/H141</f>
        <v>22264.034862459957</v>
      </c>
      <c r="I17" s="143">
        <f>+'P y G'!I27*I9/I141</f>
        <v>23569.889812898873</v>
      </c>
      <c r="J17" s="143">
        <f>+'P y G'!J27*J9/J141</f>
        <v>24952.29683189677</v>
      </c>
      <c r="K17" s="143">
        <f>+'P y G'!K27*K9/K141</f>
        <v>26415.74108985979</v>
      </c>
      <c r="L17" s="143">
        <f>+'P y G'!L27*L9/L141</f>
        <v>27964.970390196086</v>
      </c>
    </row>
    <row r="18" spans="1:12" s="145" customFormat="1" ht="15.75">
      <c r="A18" s="148"/>
      <c r="B18" s="20" t="s">
        <v>211</v>
      </c>
      <c r="C18" s="143">
        <f>+'P y G'!C28*C9/C141</f>
        <v>394.62857287891234</v>
      </c>
      <c r="D18" s="143">
        <f>+'P y G'!D28*D9/D141</f>
        <v>394.6264058020463</v>
      </c>
      <c r="E18" s="143">
        <f>+'P y G'!E28*E9/E141</f>
        <v>395.00358395952037</v>
      </c>
      <c r="F18" s="143">
        <f>+'P y G'!F28*F9/F141</f>
        <v>395.40098360853</v>
      </c>
      <c r="G18" s="143">
        <f>+'P y G'!G28*G9/G141</f>
        <v>741.3685449440779</v>
      </c>
      <c r="H18" s="143">
        <f>+'P y G'!H28*H9/H141</f>
        <v>396.2612371857139</v>
      </c>
      <c r="I18" s="143">
        <f>+'P y G'!I28*I9/I141</f>
        <v>396.72665777636814</v>
      </c>
      <c r="J18" s="143">
        <f>+'P y G'!J28*J9/J141</f>
        <v>397.2174411324547</v>
      </c>
      <c r="K18" s="143">
        <f>+'P y G'!K28*K9/K141</f>
        <v>397.7350606207602</v>
      </c>
      <c r="L18" s="143">
        <f>+'P y G'!L28*L9/L141</f>
        <v>398.2810735909568</v>
      </c>
    </row>
    <row r="19" spans="1:12" s="145" customFormat="1" ht="15.75">
      <c r="A19" s="148"/>
      <c r="B19" s="20" t="s">
        <v>210</v>
      </c>
      <c r="C19" s="143">
        <f>+'P y G'!C32*C9/C141</f>
        <v>36.392370904055895</v>
      </c>
      <c r="D19" s="143">
        <f>+'P y G'!D32*D9/D141</f>
        <v>36.39401388536205</v>
      </c>
      <c r="E19" s="143">
        <f>+'P y G'!E32*E9/E141</f>
        <v>36.39562610320786</v>
      </c>
      <c r="F19" s="143">
        <f>+'P y G'!F32*F9/F141</f>
        <v>36.397208131386655</v>
      </c>
      <c r="G19" s="143">
        <f>+'P y G'!G32*G9/G141</f>
        <v>72.79752106616436</v>
      </c>
      <c r="H19" s="143">
        <f>+'P y G'!H32*H9/H141</f>
        <v>36.40028386112424</v>
      </c>
      <c r="I19" s="143">
        <f>+'P y G'!I32*I9/I141</f>
        <v>36.40177865798681</v>
      </c>
      <c r="J19" s="143">
        <f>+'P y G'!J32*J9/J141</f>
        <v>36.40324545616708</v>
      </c>
      <c r="K19" s="143">
        <f>+'P y G'!K32*K9/K141</f>
        <v>36.40468477830293</v>
      </c>
      <c r="L19" s="143">
        <f>+'P y G'!L32*L9/L141</f>
        <v>0</v>
      </c>
    </row>
    <row r="20" spans="1:12" s="145" customFormat="1" ht="15.75">
      <c r="A20" s="148"/>
      <c r="B20" s="20" t="s">
        <v>209</v>
      </c>
      <c r="C20" s="143">
        <f>+'P y G'!C34*'P y G'!C11/'P y G'!C10</f>
        <v>10.1600048380395</v>
      </c>
      <c r="D20" s="143">
        <f>+'P y G'!D34*'P y G'!D11/'P y G'!D10</f>
        <v>23.747745363462368</v>
      </c>
      <c r="E20" s="143">
        <f>+'P y G'!E34*'P y G'!E11/'P y G'!E10</f>
        <v>25.364561088996606</v>
      </c>
      <c r="F20" s="143">
        <f>+'P y G'!F34*'P y G'!F11/'P y G'!F10</f>
        <v>27.089975148575835</v>
      </c>
      <c r="G20" s="143">
        <f>+'P y G'!G34*'P y G'!G11/'P y G'!G10</f>
        <v>28.931263520051075</v>
      </c>
      <c r="H20" s="143">
        <f>+'P y G'!H34*'P y G'!H11/'P y G'!H10</f>
        <v>18.514838343358143</v>
      </c>
      <c r="I20" s="143">
        <f>+'P y G'!I34*'P y G'!I11/'P y G'!I10</f>
        <v>19.270482569729964</v>
      </c>
      <c r="J20" s="143">
        <f>+'P y G'!J34*'P y G'!J11/'P y G'!J10</f>
        <v>20.05655589166675</v>
      </c>
      <c r="K20" s="143">
        <f>+'P y G'!K34*'P y G'!K11/'P y G'!K10</f>
        <v>20.87428154095847</v>
      </c>
      <c r="L20" s="143">
        <f>+'P y G'!L34*'P y G'!L11/'P y G'!L10</f>
        <v>21.724931942764357</v>
      </c>
    </row>
    <row r="21" spans="1:12" s="145" customFormat="1" ht="15.75">
      <c r="A21" s="148"/>
      <c r="B21" s="20" t="s">
        <v>213</v>
      </c>
      <c r="C21" s="143">
        <f>+'P y G'!C38*C9/C141</f>
        <v>2979.625367769576</v>
      </c>
      <c r="D21" s="143">
        <f>+'P y G'!D38*D9/D141</f>
        <v>2979.759886864017</v>
      </c>
      <c r="E21" s="143">
        <f>+'P y G'!E38*E9/E141</f>
        <v>2979.8918872001436</v>
      </c>
      <c r="F21" s="143">
        <f>+'P y G'!F38*F9/F141</f>
        <v>2980.0214157572823</v>
      </c>
      <c r="G21" s="143">
        <f>+'P y G'!G38*G9/G141</f>
        <v>2980.1485186461045</v>
      </c>
      <c r="H21" s="143">
        <f>+'P y G'!H38*H9/H141</f>
        <v>2980.2732411295465</v>
      </c>
      <c r="I21" s="143">
        <f>+'P y G'!I38*I9/I141</f>
        <v>2980.3956276226704</v>
      </c>
      <c r="J21" s="143">
        <f>+'P y G'!J38*J9/J141</f>
        <v>2980.5157217236797</v>
      </c>
      <c r="K21" s="143">
        <f>+'P y G'!K38*K9/K141</f>
        <v>2980.633566223552</v>
      </c>
      <c r="L21" s="143">
        <f>+'P y G'!L38*L9/L141</f>
        <v>2980.7492031207394</v>
      </c>
    </row>
    <row r="22" spans="1:12" s="145" customFormat="1" ht="15.75">
      <c r="A22" s="148"/>
      <c r="B22" s="20" t="s">
        <v>246</v>
      </c>
      <c r="C22" s="143">
        <f>+'P y G'!C33*C11/'P y G'!C10</f>
        <v>997.424591853208</v>
      </c>
      <c r="D22" s="143">
        <f>+'P y G'!D33*D11/'P y G'!D10</f>
        <v>1064.2433002347027</v>
      </c>
      <c r="E22" s="143">
        <f>+'P y G'!E33*E11/'P y G'!E10</f>
        <v>1135.5382766230612</v>
      </c>
      <c r="F22" s="143">
        <f>+'P y G'!F33*F11/'P y G'!F10</f>
        <v>1211.6093917544074</v>
      </c>
      <c r="G22" s="143">
        <f>+'P y G'!G33*G11/'P y G'!G10</f>
        <v>1292.7766050767689</v>
      </c>
      <c r="H22" s="143">
        <f>+'P y G'!H33*H11/'P y G'!H10</f>
        <v>1344.749717748709</v>
      </c>
      <c r="I22" s="143">
        <f>+'P y G'!I33*I11/'P y G'!I10</f>
        <v>1398.812289984044</v>
      </c>
      <c r="J22" s="143">
        <f>+'P y G'!J33*J11/'P y G'!J10</f>
        <v>1455.0483237030464</v>
      </c>
      <c r="K22" s="143">
        <f>+'P y G'!K33*K11/'P y G'!K10</f>
        <v>1513.5451979301645</v>
      </c>
      <c r="L22" s="143">
        <f>+'P y G'!L33*L11/'P y G'!L10</f>
        <v>1574.3938045627285</v>
      </c>
    </row>
    <row r="23" spans="1:12" s="145" customFormat="1" ht="15.75">
      <c r="A23" s="148"/>
      <c r="B23" s="56" t="s">
        <v>68</v>
      </c>
      <c r="C23" s="154">
        <f>+C11-C12</f>
        <v>3206.798687310875</v>
      </c>
      <c r="D23" s="154">
        <f aca="true" t="shared" si="1" ref="D23:L23">+D11-D12</f>
        <v>4091.689000647042</v>
      </c>
      <c r="E23" s="154">
        <f t="shared" si="1"/>
        <v>5064.069745470537</v>
      </c>
      <c r="F23" s="154">
        <f t="shared" si="1"/>
        <v>6118.230613278291</v>
      </c>
      <c r="G23" s="154">
        <f t="shared" si="1"/>
        <v>6878.682948169218</v>
      </c>
      <c r="H23" s="154">
        <f t="shared" si="1"/>
        <v>7039.510239386313</v>
      </c>
      <c r="I23" s="154">
        <f t="shared" si="1"/>
        <v>6752.322514312429</v>
      </c>
      <c r="J23" s="154">
        <f t="shared" si="1"/>
        <v>6405.318024027656</v>
      </c>
      <c r="K23" s="154">
        <f t="shared" si="1"/>
        <v>5993.250085993524</v>
      </c>
      <c r="L23" s="154">
        <f t="shared" si="1"/>
        <v>5546.899971482737</v>
      </c>
    </row>
    <row r="24" spans="1:12" s="145" customFormat="1" ht="15.75">
      <c r="A24" s="148"/>
      <c r="B24" s="20" t="s">
        <v>248</v>
      </c>
      <c r="C24" s="143">
        <f>'P y G'!C43*C9/C141</f>
        <v>83.87467632246066</v>
      </c>
      <c r="D24" s="143">
        <f>'P y G'!D43*D9/D141</f>
        <v>264.40231703477986</v>
      </c>
      <c r="E24" s="143">
        <f>'P y G'!E43*E9/E141</f>
        <v>478.42272360447936</v>
      </c>
      <c r="F24" s="143">
        <f>'P y G'!F43*F9/F141</f>
        <v>736.0981657540592</v>
      </c>
      <c r="G24" s="143">
        <f>'P y G'!G43*G9/G141</f>
        <v>993.8054092567038</v>
      </c>
      <c r="H24" s="143">
        <f>'P y G'!H43*H9/H141</f>
        <v>1282.323743616766</v>
      </c>
      <c r="I24" s="143">
        <f>'P y G'!I43*I9/I141</f>
        <v>1625.8359318223138</v>
      </c>
      <c r="J24" s="143">
        <f>'P y G'!J43*J9/J141</f>
        <v>1970.3954854069632</v>
      </c>
      <c r="K24" s="143">
        <f>'P y G'!K43*K9/K141</f>
        <v>2313.297318940585</v>
      </c>
      <c r="L24" s="143">
        <f>'P y G'!L43*L9/L141</f>
        <v>2586.0736180378267</v>
      </c>
    </row>
    <row r="25" spans="1:12" s="145" customFormat="1" ht="15.75">
      <c r="A25" s="148"/>
      <c r="B25" s="56" t="s">
        <v>214</v>
      </c>
      <c r="C25" s="154">
        <f>+C23+C24</f>
        <v>3290.6733636333356</v>
      </c>
      <c r="D25" s="154">
        <f aca="true" t="shared" si="2" ref="D25:L25">+D23+D24</f>
        <v>4356.091317681822</v>
      </c>
      <c r="E25" s="154">
        <f t="shared" si="2"/>
        <v>5542.492469075016</v>
      </c>
      <c r="F25" s="154">
        <f t="shared" si="2"/>
        <v>6854.32877903235</v>
      </c>
      <c r="G25" s="154">
        <f t="shared" si="2"/>
        <v>7872.488357425922</v>
      </c>
      <c r="H25" s="154">
        <f t="shared" si="2"/>
        <v>8321.833983003078</v>
      </c>
      <c r="I25" s="154">
        <f t="shared" si="2"/>
        <v>8378.158446134743</v>
      </c>
      <c r="J25" s="154">
        <f t="shared" si="2"/>
        <v>8375.71350943462</v>
      </c>
      <c r="K25" s="154">
        <f t="shared" si="2"/>
        <v>8306.54740493411</v>
      </c>
      <c r="L25" s="154">
        <f t="shared" si="2"/>
        <v>8132.973589520563</v>
      </c>
    </row>
    <row r="26" spans="1:12" s="145" customFormat="1" ht="15.75">
      <c r="A26" s="148"/>
      <c r="B26" s="20" t="s">
        <v>215</v>
      </c>
      <c r="C26" s="143">
        <f>'P y G'!C48*C9/C141</f>
        <v>1397.617777362135</v>
      </c>
      <c r="D26" s="143">
        <f>'P y G'!D48*D9/D141</f>
        <v>1751.1657814339687</v>
      </c>
      <c r="E26" s="143">
        <f>'P y G'!E48*E9/E141</f>
        <v>2144.738222213949</v>
      </c>
      <c r="F26" s="143">
        <f>'P y G'!F48*F9/F141</f>
        <v>2579.69284512616</v>
      </c>
      <c r="G26" s="143">
        <f>'P y G'!G48*G9/G141</f>
        <v>2917.720707467534</v>
      </c>
      <c r="H26" s="143">
        <f>'P y G'!H48*H9/H141</f>
        <v>3066.699528862512</v>
      </c>
      <c r="I26" s="143">
        <f>'P y G'!I48*I9/I141</f>
        <v>3085.909906183328</v>
      </c>
      <c r="J26" s="143">
        <f>'P y G'!J48*J9/J141</f>
        <v>3085.720289206819</v>
      </c>
      <c r="K26" s="143">
        <f>'P y G'!K48*K9/K141</f>
        <v>3063.506190103429</v>
      </c>
      <c r="L26" s="143">
        <f>'P y G'!L48*L9/L141</f>
        <v>3006.830630238369</v>
      </c>
    </row>
    <row r="27" spans="1:12" s="145" customFormat="1" ht="15.75">
      <c r="A27" s="148"/>
      <c r="B27" s="56" t="s">
        <v>249</v>
      </c>
      <c r="C27" s="154">
        <f>+C25-C26</f>
        <v>1893.0555862712006</v>
      </c>
      <c r="D27" s="154">
        <f aca="true" t="shared" si="3" ref="D27:L27">+D25-D26</f>
        <v>2604.9255362478534</v>
      </c>
      <c r="E27" s="154">
        <f t="shared" si="3"/>
        <v>3397.754246861067</v>
      </c>
      <c r="F27" s="154">
        <f t="shared" si="3"/>
        <v>4274.63593390619</v>
      </c>
      <c r="G27" s="154">
        <f t="shared" si="3"/>
        <v>4954.767649958389</v>
      </c>
      <c r="H27" s="154">
        <f t="shared" si="3"/>
        <v>5255.134454140566</v>
      </c>
      <c r="I27" s="154">
        <f t="shared" si="3"/>
        <v>5292.248539951415</v>
      </c>
      <c r="J27" s="154">
        <f t="shared" si="3"/>
        <v>5289.9932202278005</v>
      </c>
      <c r="K27" s="154">
        <f t="shared" si="3"/>
        <v>5243.0412148306805</v>
      </c>
      <c r="L27" s="154">
        <f t="shared" si="3"/>
        <v>5126.142959282194</v>
      </c>
    </row>
    <row r="28" spans="1:12" s="145" customFormat="1" ht="4.5" customHeight="1">
      <c r="A28" s="148"/>
      <c r="B28" s="147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s="145" customFormat="1" ht="15.75">
      <c r="A29" s="148"/>
      <c r="B29" s="53" t="s">
        <v>250</v>
      </c>
      <c r="C29" s="54">
        <f>+C8</f>
        <v>2010</v>
      </c>
      <c r="D29" s="54">
        <f aca="true" t="shared" si="4" ref="D29:L29">+D8</f>
        <v>2011</v>
      </c>
      <c r="E29" s="54">
        <f t="shared" si="4"/>
        <v>2012</v>
      </c>
      <c r="F29" s="54">
        <f t="shared" si="4"/>
        <v>2013</v>
      </c>
      <c r="G29" s="54">
        <f t="shared" si="4"/>
        <v>2014</v>
      </c>
      <c r="H29" s="54">
        <f t="shared" si="4"/>
        <v>2015</v>
      </c>
      <c r="I29" s="54">
        <f t="shared" si="4"/>
        <v>2016</v>
      </c>
      <c r="J29" s="54">
        <f t="shared" si="4"/>
        <v>2017</v>
      </c>
      <c r="K29" s="54">
        <f t="shared" si="4"/>
        <v>2018</v>
      </c>
      <c r="L29" s="54">
        <f t="shared" si="4"/>
        <v>2019</v>
      </c>
    </row>
    <row r="30" spans="1:12" s="145" customFormat="1" ht="15.75">
      <c r="A30" s="148"/>
      <c r="B30" s="144" t="s">
        <v>205</v>
      </c>
      <c r="C30" s="143">
        <f>+'[2]Demanda'!D19*1000000</f>
        <v>278535.3431534851</v>
      </c>
      <c r="D30" s="143">
        <f>+'[2]Demanda'!E19*1000000</f>
        <v>289698.7115002901</v>
      </c>
      <c r="E30" s="143">
        <f>+'[2]Demanda'!F19*1000000</f>
        <v>301309.60253871477</v>
      </c>
      <c r="F30" s="143">
        <f>+'[2]Demanda'!G19*1000000</f>
        <v>313385.9616345125</v>
      </c>
      <c r="G30" s="143">
        <f>+'[2]Demanda'!H19*1000000</f>
        <v>325946.4539686804</v>
      </c>
      <c r="H30" s="143">
        <f>+'[2]Demanda'!I19*1000000</f>
        <v>339010.49299993005</v>
      </c>
      <c r="I30" s="143">
        <f>+'[2]Demanda'!J19*1000000</f>
        <v>352598.27173134213</v>
      </c>
      <c r="J30" s="143">
        <f>+'[2]Demanda'!K19*1000000</f>
        <v>366730.7927671512</v>
      </c>
      <c r="K30" s="143">
        <f>+'[2]Demanda'!L19*1000000</f>
        <v>381429.9012014905</v>
      </c>
      <c r="L30" s="143">
        <f>+'[2]Demanda'!M19*1000000</f>
        <v>396718.3184253452</v>
      </c>
    </row>
    <row r="31" spans="1:12" s="145" customFormat="1" ht="15.75">
      <c r="A31" s="148"/>
      <c r="B31" s="144" t="s">
        <v>206</v>
      </c>
      <c r="C31" s="143">
        <f>+'[2]Transporte'!D18</f>
        <v>179324.30236745995</v>
      </c>
      <c r="D31" s="143">
        <f>+'[2]Transporte'!E18</f>
        <v>186511.40910299073</v>
      </c>
      <c r="E31" s="143">
        <f>+'[2]Transporte'!F18</f>
        <v>193986.6361666627</v>
      </c>
      <c r="F31" s="143">
        <f>+'[2]Transporte'!G18</f>
        <v>201761.5369942375</v>
      </c>
      <c r="G31" s="143">
        <f>+'[2]Transporte'!H18</f>
        <v>209848.1284469255</v>
      </c>
      <c r="H31" s="143">
        <f>+'[2]Transporte'!I18</f>
        <v>218258.90913585652</v>
      </c>
      <c r="I31" s="143">
        <f>+'[2]Transporte'!J18</f>
        <v>227006.8795519168</v>
      </c>
      <c r="J31" s="143">
        <f>+'[2]Transporte'!K18</f>
        <v>236105.56141665738</v>
      </c>
      <c r="K31" s="143">
        <f>+'[2]Transporte'!L18</f>
        <v>245569.0188564518</v>
      </c>
      <c r="L31" s="143">
        <f>+'[2]Transporte'!M18</f>
        <v>255411.8801678067</v>
      </c>
    </row>
    <row r="32" spans="1:12" s="145" customFormat="1" ht="15.75">
      <c r="A32" s="148"/>
      <c r="B32" s="56" t="s">
        <v>48</v>
      </c>
      <c r="C32" s="154">
        <f>+'P y G'!C12</f>
        <v>1083.3719162664759</v>
      </c>
      <c r="D32" s="154">
        <f>+'P y G'!D12</f>
        <v>1095.4029383281436</v>
      </c>
      <c r="E32" s="154">
        <f>+'P y G'!E12</f>
        <v>1107.655922122723</v>
      </c>
      <c r="F32" s="154">
        <f>+'P y G'!F12</f>
        <v>1120.1367102183333</v>
      </c>
      <c r="G32" s="154">
        <f>+'P y G'!G12</f>
        <v>1132.8513197794616</v>
      </c>
      <c r="H32" s="154">
        <f>+'P y G'!H12</f>
        <v>1138.1827060516662</v>
      </c>
      <c r="I32" s="154">
        <f>+'P y G'!I12</f>
        <v>1143.5757615206617</v>
      </c>
      <c r="J32" s="154">
        <f>+'P y G'!J12</f>
        <v>1149.0314634464178</v>
      </c>
      <c r="K32" s="154">
        <f>+'P y G'!K12</f>
        <v>1154.550805350092</v>
      </c>
      <c r="L32" s="154">
        <f>+'P y G'!L12</f>
        <v>1160.1347972862723</v>
      </c>
    </row>
    <row r="33" spans="1:12" s="145" customFormat="1" ht="15.75">
      <c r="A33" s="148"/>
      <c r="B33" s="56" t="s">
        <v>212</v>
      </c>
      <c r="C33" s="154">
        <f>SUM(C34:C43)</f>
        <v>128.9040063986275</v>
      </c>
      <c r="D33" s="154">
        <f aca="true" t="shared" si="5" ref="D33:L33">SUM(D34:D43)</f>
        <v>133.01844911435134</v>
      </c>
      <c r="E33" s="154">
        <f t="shared" si="5"/>
        <v>136.98401826076545</v>
      </c>
      <c r="F33" s="154">
        <f t="shared" si="5"/>
        <v>141.1071124123972</v>
      </c>
      <c r="G33" s="154">
        <f t="shared" si="5"/>
        <v>146.24610095443703</v>
      </c>
      <c r="H33" s="154">
        <f t="shared" si="5"/>
        <v>149.44447571065305</v>
      </c>
      <c r="I33" s="154">
        <f t="shared" si="5"/>
        <v>153.89146015238845</v>
      </c>
      <c r="J33" s="154">
        <f t="shared" si="5"/>
        <v>158.51647087576683</v>
      </c>
      <c r="K33" s="154">
        <f t="shared" si="5"/>
        <v>163.3262395438589</v>
      </c>
      <c r="L33" s="154">
        <f t="shared" si="5"/>
        <v>168.25385933478879</v>
      </c>
    </row>
    <row r="34" spans="1:12" s="145" customFormat="1" ht="15.75">
      <c r="A34" s="148"/>
      <c r="B34" s="20" t="s">
        <v>187</v>
      </c>
      <c r="C34" s="143">
        <f>IF('[1]Tablero de Control'!$B$7='[1]Tablero de Control'!$S$7,0,'P y G'!C17+'P y G'!C18)</f>
        <v>0</v>
      </c>
      <c r="D34" s="143">
        <f>IF('[1]Tablero de Control'!$B$7='[1]Tablero de Control'!$S$7,0,'P y G'!D17+'P y G'!D18)</f>
        <v>0</v>
      </c>
      <c r="E34" s="143">
        <f>IF('[1]Tablero de Control'!$B$7='[1]Tablero de Control'!$S$7,0,'P y G'!E17+'P y G'!E18)</f>
        <v>0</v>
      </c>
      <c r="F34" s="143">
        <f>IF('[1]Tablero de Control'!$B$7='[1]Tablero de Control'!$S$7,0,'P y G'!F17+'P y G'!F18)</f>
        <v>0</v>
      </c>
      <c r="G34" s="143">
        <f>IF('[1]Tablero de Control'!$B$7='[1]Tablero de Control'!$S$7,0,'P y G'!G17+'P y G'!G18)</f>
        <v>0</v>
      </c>
      <c r="H34" s="143">
        <f>IF('[1]Tablero de Control'!$B$7='[1]Tablero de Control'!$S$7,0,'P y G'!H17+'P y G'!H18)</f>
        <v>0</v>
      </c>
      <c r="I34" s="143">
        <f>IF('[1]Tablero de Control'!$B$7='[1]Tablero de Control'!$S$7,0,'P y G'!I17+'P y G'!I18)</f>
        <v>0</v>
      </c>
      <c r="J34" s="143">
        <f>IF('[1]Tablero de Control'!$B$7='[1]Tablero de Control'!$S$7,0,'P y G'!J17+'P y G'!J18)</f>
        <v>0</v>
      </c>
      <c r="K34" s="143">
        <f>IF('[1]Tablero de Control'!$B$7='[1]Tablero de Control'!$S$7,0,'P y G'!K17+'P y G'!K18)</f>
        <v>0</v>
      </c>
      <c r="L34" s="143">
        <f>IF('[1]Tablero de Control'!$B$7='[1]Tablero de Control'!$S$7,0,'P y G'!L17+'P y G'!L18)</f>
        <v>0</v>
      </c>
    </row>
    <row r="35" spans="1:12" s="145" customFormat="1" ht="15.75">
      <c r="A35" s="148"/>
      <c r="B35" s="20" t="s">
        <v>190</v>
      </c>
      <c r="C35" s="143">
        <f>IF('[1]Tablero de Control'!$B$7='[1]Tablero de Control'!$S$7,'[2]Clasificación'!D57+'[2]Clasificación'!D63*C30/C141,IF('[1]Tablero de Control'!$B$7='[1]Tablero de Control'!$S$8,'[2]Clasificación'!D57+'[2]Clasificación'!D63*C30/C141+'[2]Clasificación'!D67*C30/C141,IF('[1]Tablero de Control'!$B$7='[1]Tablero de Control'!$S$9,'[2]Clasificación'!D57+'[2]Clasificación'!D63*C30/C141+'[2]Clasificación'!D67*C30/C141,0)))</f>
        <v>14.501929103961636</v>
      </c>
      <c r="D35" s="143">
        <f>IF('[1]Tablero de Control'!$B$7='[1]Tablero de Control'!$S$7,'[2]Clasificación'!E57+'[2]Clasificación'!E63*D30/D141,IF('[1]Tablero de Control'!$B$7='[1]Tablero de Control'!$S$8,'[2]Clasificación'!E57+'[2]Clasificación'!E63*D30/D141+'[2]Clasificación'!E67*D30/D141,IF('[1]Tablero de Control'!$B$7='[1]Tablero de Control'!$S$9,'[2]Clasificación'!E57+'[2]Clasificación'!E63*D30/D141+'[2]Clasificación'!E67*D30/D141,0)))</f>
        <v>15.013886847256137</v>
      </c>
      <c r="E35" s="143">
        <f>IF('[1]Tablero de Control'!$B$7='[1]Tablero de Control'!$S$7,'[2]Clasificación'!F57+'[2]Clasificación'!F63*E30/E141,IF('[1]Tablero de Control'!$B$7='[1]Tablero de Control'!$S$8,'[2]Clasificación'!F57+'[2]Clasificación'!F63*E30/E141+'[2]Clasificación'!F67*E30/E141,IF('[1]Tablero de Control'!$B$7='[1]Tablero de Control'!$S$9,'[2]Clasificación'!F57+'[2]Clasificación'!F63*E30/E141+'[2]Clasificación'!F67*E30/E141,0)))</f>
        <v>15.545499976470019</v>
      </c>
      <c r="F35" s="143">
        <f>IF('[1]Tablero de Control'!$B$7='[1]Tablero de Control'!$S$7,'[2]Clasificación'!G57+'[2]Clasificación'!G63*F30/F141,IF('[1]Tablero de Control'!$B$7='[1]Tablero de Control'!$S$8,'[2]Clasificación'!G57+'[2]Clasificación'!G63*F30/F141+'[2]Clasificación'!G67*F30/F141,IF('[1]Tablero de Control'!$B$7='[1]Tablero de Control'!$S$9,'[2]Clasificación'!G57+'[2]Clasificación'!G63*F30/F141+'[2]Clasificación'!G67*F30/F141,0)))</f>
        <v>16.097495145573497</v>
      </c>
      <c r="G35" s="143">
        <f>IF('[1]Tablero de Control'!$B$7='[1]Tablero de Control'!$S$7,'[2]Clasificación'!H57+'[2]Clasificación'!H63*G30/G141,IF('[1]Tablero de Control'!$B$7='[1]Tablero de Control'!$S$8,'[2]Clasificación'!H57+'[2]Clasificación'!H63*G30/G141+'[2]Clasificación'!H67*G30/G141,IF('[1]Tablero de Control'!$B$7='[1]Tablero de Control'!$S$9,'[2]Clasificación'!H57+'[2]Clasificación'!H63*G30/G141+'[2]Clasificación'!H67*G30/G141,0)))</f>
        <v>16.67062649936634</v>
      </c>
      <c r="H35" s="143">
        <f>IF('[1]Tablero de Control'!$B$7='[1]Tablero de Control'!$S$7,'[2]Clasificación'!I57+'[2]Clasificación'!I63*H30/H141,IF('[1]Tablero de Control'!$B$7='[1]Tablero de Control'!$S$8,'[2]Clasificación'!I57+'[2]Clasificación'!I63*H30/H141+'[2]Clasificación'!I67*H30/H141,IF('[1]Tablero de Control'!$B$7='[1]Tablero de Control'!$S$9,'[2]Clasificación'!I57+'[2]Clasificación'!I63*H30/H141+'[2]Clasificación'!I67*H30/H141,0)))</f>
        <v>17.265676684697418</v>
      </c>
      <c r="I35" s="143">
        <f>IF('[1]Tablero de Control'!$B$7='[1]Tablero de Control'!$S$7,'[2]Clasificación'!J57+'[2]Clasificación'!J63*I30/I141,IF('[1]Tablero de Control'!$B$7='[1]Tablero de Control'!$S$8,'[2]Clasificación'!J57+'[2]Clasificación'!J63*I30/I141+'[2]Clasificación'!J67*I30/I141,IF('[1]Tablero de Control'!$B$7='[1]Tablero de Control'!$S$9,'[2]Clasificación'!J57+'[2]Clasificación'!J63*I30/I141+'[2]Clasificación'!J67*I30/I141,0)))</f>
        <v>17.883457983870787</v>
      </c>
      <c r="J35" s="143">
        <f>IF('[1]Tablero de Control'!$B$7='[1]Tablero de Control'!$S$7,'[2]Clasificación'!K57+'[2]Clasificación'!K63*J30/J141,IF('[1]Tablero de Control'!$B$7='[1]Tablero de Control'!$S$8,'[2]Clasificación'!K57+'[2]Clasificación'!K63*J30/J141+'[2]Clasificación'!K67*J30/J141,IF('[1]Tablero de Control'!$B$7='[1]Tablero de Control'!$S$9,'[2]Clasificación'!K57+'[2]Clasificación'!K63*J30/J141+'[2]Clasificación'!K67*J30/J141,0)))</f>
        <v>18.524813366270653</v>
      </c>
      <c r="K35" s="143">
        <f>IF('[1]Tablero de Control'!$B$7='[1]Tablero de Control'!$S$7,'[2]Clasificación'!L57+'[2]Clasificación'!L63*K30/K141,IF('[1]Tablero de Control'!$B$7='[1]Tablero de Control'!$S$8,'[2]Clasificación'!L57+'[2]Clasificación'!L63*K30/K141+'[2]Clasificación'!L67*K30/K141,IF('[1]Tablero de Control'!$B$7='[1]Tablero de Control'!$S$9,'[2]Clasificación'!L57+'[2]Clasificación'!L63*K30/K141+'[2]Clasificación'!L67*K30/K141,0)))</f>
        <v>19.190617662082545</v>
      </c>
      <c r="L35" s="143">
        <f>IF('[1]Tablero de Control'!$B$7='[1]Tablero de Control'!$S$7,'[2]Clasificación'!M57+'[2]Clasificación'!M63*L30/L141,IF('[1]Tablero de Control'!$B$7='[1]Tablero de Control'!$S$8,'[2]Clasificación'!M57+'[2]Clasificación'!M63*L30/L141+'[2]Clasificación'!M67*L30/L141,IF('[1]Tablero de Control'!$B$7='[1]Tablero de Control'!$S$9,'[2]Clasificación'!M57+'[2]Clasificación'!M63*L30/L141+'[2]Clasificación'!M67*L30/L141,0)))</f>
        <v>19.88177876003769</v>
      </c>
    </row>
    <row r="36" spans="1:12" s="145" customFormat="1" ht="15.75">
      <c r="A36" s="148"/>
      <c r="B36" s="20" t="s">
        <v>191</v>
      </c>
      <c r="C36" s="143">
        <f>'P y G'!C23*C30/C141</f>
        <v>17.323336686068135</v>
      </c>
      <c r="D36" s="143">
        <f>'P y G'!D23*D30/D141</f>
        <v>17.994886067914887</v>
      </c>
      <c r="E36" s="143">
        <f>'P y G'!E23*E30/E141</f>
        <v>18.692445285589717</v>
      </c>
      <c r="F36" s="143">
        <f>'P y G'!F23*F30/F141</f>
        <v>19.41702078301857</v>
      </c>
      <c r="G36" s="143">
        <f>'P y G'!G23*G30/G141</f>
        <v>20.16965790962199</v>
      </c>
      <c r="H36" s="143">
        <f>'P y G'!H23*H30/H141</f>
        <v>20.95144239671641</v>
      </c>
      <c r="I36" s="143">
        <f>'P y G'!I23*I30/I141</f>
        <v>21.763501993588033</v>
      </c>
      <c r="J36" s="143">
        <f>'P y G'!J23*J30/J141</f>
        <v>22.60700801425287</v>
      </c>
      <c r="K36" s="143">
        <f>'P y G'!K23*K30/K141</f>
        <v>23.483177044407768</v>
      </c>
      <c r="L36" s="143">
        <f>'P y G'!L23*L30/L141</f>
        <v>24.39327268934373</v>
      </c>
    </row>
    <row r="37" spans="1:13" s="145" customFormat="1" ht="15.75">
      <c r="A37" s="148"/>
      <c r="B37" s="20" t="s">
        <v>192</v>
      </c>
      <c r="C37" s="143">
        <f>'P y G'!C25*C31/C142</f>
        <v>23.380226210426418</v>
      </c>
      <c r="D37" s="143">
        <f>'P y G'!D25*D31/D142</f>
        <v>24.31727812729856</v>
      </c>
      <c r="E37" s="143">
        <f>'P y G'!E25*E31/E142</f>
        <v>25.291895049910746</v>
      </c>
      <c r="F37" s="143">
        <f>'P y G'!F25*F31/F142</f>
        <v>26.305583310299692</v>
      </c>
      <c r="G37" s="143">
        <f>'P y G'!G25*G31/G142</f>
        <v>27.359909661714813</v>
      </c>
      <c r="H37" s="143">
        <f>'P y G'!H25*H31/H142</f>
        <v>28.456503667754998</v>
      </c>
      <c r="I37" s="143">
        <f>'P y G'!I25*I31/I142</f>
        <v>29.597060326888105</v>
      </c>
      <c r="J37" s="143">
        <f>'P y G'!J25*J31/J142</f>
        <v>30.78334259541425</v>
      </c>
      <c r="K37" s="143">
        <f>'P y G'!K25*K31/K142</f>
        <v>32.01718414814339</v>
      </c>
      <c r="L37" s="143">
        <f>'P y G'!L25*L31/L142</f>
        <v>33.3004922161473</v>
      </c>
      <c r="M37" s="171"/>
    </row>
    <row r="38" spans="1:12" s="145" customFormat="1" ht="15.75">
      <c r="A38" s="148"/>
      <c r="B38" s="20" t="s">
        <v>194</v>
      </c>
      <c r="C38" s="143">
        <f>+'P y G'!C27*C30/C141</f>
        <v>40.314657725742414</v>
      </c>
      <c r="D38" s="143">
        <f>+'P y G'!D27*D30/D141</f>
        <v>41.87747925173971</v>
      </c>
      <c r="E38" s="143">
        <f>+'P y G'!E27*E30/E141</f>
        <v>43.500830550257945</v>
      </c>
      <c r="F38" s="143">
        <f>+'P y G'!F27*F30/F141</f>
        <v>45.187053805319174</v>
      </c>
      <c r="G38" s="143">
        <f>+'P y G'!G27*G30/G141</f>
        <v>46.93858174133773</v>
      </c>
      <c r="H38" s="143">
        <f>+'P y G'!H27*H30/H141</f>
        <v>48.75794105898313</v>
      </c>
      <c r="I38" s="143">
        <f>+'P y G'!I27*I30/I141</f>
        <v>50.647756242631466</v>
      </c>
      <c r="J38" s="143">
        <f>+'P y G'!J27*J30/J141</f>
        <v>52.61075315996636</v>
      </c>
      <c r="K38" s="143">
        <f>+'P y G'!K27*K30/K141</f>
        <v>54.64976303437452</v>
      </c>
      <c r="L38" s="143">
        <f>+'P y G'!L27*L30/L141</f>
        <v>56.76772651266848</v>
      </c>
    </row>
    <row r="39" spans="1:12" s="145" customFormat="1" ht="15.75">
      <c r="A39" s="148"/>
      <c r="B39" s="20" t="s">
        <v>211</v>
      </c>
      <c r="C39" s="143">
        <f>+'P y G'!C28*C30/C141</f>
        <v>0.9502251218054294</v>
      </c>
      <c r="D39" s="143">
        <f>+'P y G'!D28*D30/D141</f>
        <v>0.9323618844390973</v>
      </c>
      <c r="E39" s="143">
        <f>+'P y G'!E28*E30/E141</f>
        <v>0.9157141995859394</v>
      </c>
      <c r="F39" s="143">
        <f>+'P y G'!F28*F30/F141</f>
        <v>0.8994092669507867</v>
      </c>
      <c r="G39" s="143">
        <f>+'P y G'!G28*G30/G141</f>
        <v>1.6546823160681678</v>
      </c>
      <c r="H39" s="143">
        <f>+'P y G'!H28*H30/H141</f>
        <v>0.8678068537899336</v>
      </c>
      <c r="I39" s="143">
        <f>+'P y G'!I28*I30/I141</f>
        <v>0.8524993208502436</v>
      </c>
      <c r="J39" s="143">
        <f>+'P y G'!J28*J30/J141</f>
        <v>0.83751443352257</v>
      </c>
      <c r="K39" s="143">
        <f>+'P y G'!K28*K30/K141</f>
        <v>0.8228475112413554</v>
      </c>
      <c r="L39" s="143">
        <f>+'P y G'!L28*L30/L141</f>
        <v>0.8084940103748448</v>
      </c>
    </row>
    <row r="40" spans="1:12" s="145" customFormat="1" ht="15.75">
      <c r="A40" s="148"/>
      <c r="B40" s="20" t="s">
        <v>210</v>
      </c>
      <c r="C40" s="143">
        <f>+'P y G'!C32*C30/C141</f>
        <v>0.0876290959441137</v>
      </c>
      <c r="D40" s="143">
        <f>+'P y G'!D32*D30/D141</f>
        <v>0.0859861146379548</v>
      </c>
      <c r="E40" s="143">
        <f>+'P y G'!E32*E30/E141</f>
        <v>0.0843738967921454</v>
      </c>
      <c r="F40" s="143">
        <f>+'P y G'!F32*F30/F141</f>
        <v>0.08279186861334725</v>
      </c>
      <c r="G40" s="143">
        <f>+'P y G'!G32*G30/G141</f>
        <v>0.16247893383562456</v>
      </c>
      <c r="H40" s="143">
        <f>+'P y G'!H32*H30/H141</f>
        <v>0.07971613887577482</v>
      </c>
      <c r="I40" s="143">
        <f>+'P y G'!I32*I30/I141</f>
        <v>0.07822134201318894</v>
      </c>
      <c r="J40" s="143">
        <f>+'P y G'!J32*J30/J141</f>
        <v>0.07675454383292889</v>
      </c>
      <c r="K40" s="143">
        <f>+'P y G'!K32*K30/K141</f>
        <v>0.07531522169707625</v>
      </c>
      <c r="L40" s="143">
        <f>+'P y G'!L32*L30/L141</f>
        <v>0</v>
      </c>
    </row>
    <row r="41" spans="1:12" s="145" customFormat="1" ht="15.75">
      <c r="A41" s="148"/>
      <c r="B41" s="20" t="s">
        <v>209</v>
      </c>
      <c r="C41" s="143">
        <f>+'P y G'!C34*'P y G'!C12/'P y G'!C10</f>
        <v>0.253816150126083</v>
      </c>
      <c r="D41" s="143">
        <f>+'P y G'!D34*'P y G'!D12/'P y G'!D10</f>
        <v>0.562190103535134</v>
      </c>
      <c r="E41" s="143">
        <f>+'P y G'!E34*'P y G'!E12/'P y G'!E10</f>
        <v>0.5690602934794126</v>
      </c>
      <c r="F41" s="143">
        <f>+'P y G'!F34*'P y G'!F12/'P y G'!F10</f>
        <v>0.5760296548826833</v>
      </c>
      <c r="G41" s="143">
        <f>+'P y G'!G34*'P y G'!G12/'P y G'!G10</f>
        <v>0.5831021836688579</v>
      </c>
      <c r="H41" s="143">
        <f>+'P y G'!H34*'P y G'!H12/'P y G'!H10</f>
        <v>0.3604278001929874</v>
      </c>
      <c r="I41" s="143">
        <f>+'P y G'!I34*'P y G'!I12/'P y G'!I10</f>
        <v>0.3623480502415531</v>
      </c>
      <c r="J41" s="143">
        <f>+'P y G'!J34*'P y G'!J12/'P y G'!J10</f>
        <v>0.3642828269185371</v>
      </c>
      <c r="K41" s="143">
        <f>+'P y G'!K34*'P y G'!K12/'P y G'!K10</f>
        <v>0.3662326224119763</v>
      </c>
      <c r="L41" s="143">
        <f>+'P y G'!L34*'P y G'!L12/'P y G'!L10</f>
        <v>0.36819792937191664</v>
      </c>
    </row>
    <row r="42" spans="1:12" s="145" customFormat="1" ht="15.75">
      <c r="A42" s="148"/>
      <c r="B42" s="20" t="s">
        <v>213</v>
      </c>
      <c r="C42" s="143">
        <f>+'P y G'!C38*C30/C141</f>
        <v>7.174632230424308</v>
      </c>
      <c r="D42" s="143">
        <f>+'P y G'!D38*D30/D141</f>
        <v>7.0401131359825495</v>
      </c>
      <c r="E42" s="143">
        <f>+'P y G'!E38*E30/E141</f>
        <v>6.908112799856904</v>
      </c>
      <c r="F42" s="143">
        <f>+'P y G'!F38*F30/F141</f>
        <v>6.778584242717806</v>
      </c>
      <c r="G42" s="143">
        <f>+'P y G'!G38*G30/G141</f>
        <v>6.651481353895882</v>
      </c>
      <c r="H42" s="143">
        <f>+'P y G'!H38*H30/H141</f>
        <v>6.5267588704540636</v>
      </c>
      <c r="I42" s="143">
        <f>+'P y G'!I38*I30/I141</f>
        <v>6.404372377329842</v>
      </c>
      <c r="J42" s="143">
        <f>+'P y G'!J38*J30/J141</f>
        <v>6.284278276321052</v>
      </c>
      <c r="K42" s="143">
        <f>+'P y G'!K38*K30/K141</f>
        <v>6.166433776448116</v>
      </c>
      <c r="L42" s="143">
        <f>+'P y G'!L38*L30/L141</f>
        <v>6.0507968792605675</v>
      </c>
    </row>
    <row r="43" spans="1:12" s="145" customFormat="1" ht="15.75">
      <c r="A43" s="148"/>
      <c r="B43" s="20" t="s">
        <v>246</v>
      </c>
      <c r="C43" s="143">
        <f>+'P y G'!C33*C32/'P y G'!C10</f>
        <v>24.917554074128947</v>
      </c>
      <c r="D43" s="143">
        <f>+'P y G'!D33*D32/'P y G'!D10</f>
        <v>25.1942675815473</v>
      </c>
      <c r="E43" s="143">
        <f>+'P y G'!E33*E32/'P y G'!E10</f>
        <v>25.47608620882263</v>
      </c>
      <c r="F43" s="143">
        <f>+'P y G'!F33*F32/'P y G'!F10</f>
        <v>25.763144335021664</v>
      </c>
      <c r="G43" s="143">
        <f>+'P y G'!G33*G32/'P y G'!G10</f>
        <v>26.055580354927617</v>
      </c>
      <c r="H43" s="143">
        <f>+'P y G'!H33*H32/'P y G'!H10</f>
        <v>26.178202239188323</v>
      </c>
      <c r="I43" s="143">
        <f>+'P y G'!I33*I32/'P y G'!I10</f>
        <v>26.30224251497522</v>
      </c>
      <c r="J43" s="143">
        <f>+'P y G'!J33*J32/'P y G'!J10</f>
        <v>26.42772365926761</v>
      </c>
      <c r="K43" s="143">
        <f>+'P y G'!K33*K32/'P y G'!K10</f>
        <v>26.554668523052122</v>
      </c>
      <c r="L43" s="143">
        <f>+'P y G'!L33*L32/'P y G'!L10</f>
        <v>26.68310033758426</v>
      </c>
    </row>
    <row r="44" spans="1:12" s="145" customFormat="1" ht="15.75">
      <c r="A44" s="148"/>
      <c r="B44" s="56" t="s">
        <v>68</v>
      </c>
      <c r="C44" s="154">
        <f>+C32-C33</f>
        <v>954.4679098678483</v>
      </c>
      <c r="D44" s="154">
        <f aca="true" t="shared" si="6" ref="D44:L44">+D32-D33</f>
        <v>962.3844892137922</v>
      </c>
      <c r="E44" s="154">
        <f t="shared" si="6"/>
        <v>970.6719038619576</v>
      </c>
      <c r="F44" s="154">
        <f t="shared" si="6"/>
        <v>979.0295978059361</v>
      </c>
      <c r="G44" s="154">
        <f t="shared" si="6"/>
        <v>986.6052188250246</v>
      </c>
      <c r="H44" s="154">
        <f t="shared" si="6"/>
        <v>988.7382303410131</v>
      </c>
      <c r="I44" s="154">
        <f t="shared" si="6"/>
        <v>989.6843013682733</v>
      </c>
      <c r="J44" s="154">
        <f t="shared" si="6"/>
        <v>990.514992570651</v>
      </c>
      <c r="K44" s="154">
        <f t="shared" si="6"/>
        <v>991.2245658062332</v>
      </c>
      <c r="L44" s="154">
        <f t="shared" si="6"/>
        <v>991.8809379514835</v>
      </c>
    </row>
    <row r="45" spans="1:12" s="145" customFormat="1" ht="15.75">
      <c r="A45" s="148"/>
      <c r="B45" s="20" t="s">
        <v>248</v>
      </c>
      <c r="C45" s="143">
        <f>'P y G'!C43*C30/C141</f>
        <v>0.20196161657396305</v>
      </c>
      <c r="D45" s="143">
        <f>'P y G'!D43*D30/D141</f>
        <v>0.6246886648641307</v>
      </c>
      <c r="E45" s="143">
        <f>'P y G'!E43*E30/E141</f>
        <v>1.1091000163028821</v>
      </c>
      <c r="F45" s="143">
        <f>'P y G'!F43*F30/F141</f>
        <v>1.6743850903520985</v>
      </c>
      <c r="G45" s="143">
        <f>'P y G'!G43*G30/G141</f>
        <v>2.2181035970901584</v>
      </c>
      <c r="H45" s="143">
        <f>'P y G'!H43*H30/H141</f>
        <v>2.808271990950909</v>
      </c>
      <c r="I45" s="143">
        <f>'P y G'!I43*I30/I141</f>
        <v>3.4936498481373457</v>
      </c>
      <c r="J45" s="143">
        <f>'P y G'!J43*J30/J141</f>
        <v>4.154486907904331</v>
      </c>
      <c r="K45" s="143">
        <f>'P y G'!K43*K30/K141</f>
        <v>4.785826370651633</v>
      </c>
      <c r="L45" s="143">
        <f>'P y G'!L43*L30/L141</f>
        <v>5.2496218605640035</v>
      </c>
    </row>
    <row r="46" spans="1:12" s="145" customFormat="1" ht="15.75">
      <c r="A46" s="148"/>
      <c r="B46" s="56" t="s">
        <v>214</v>
      </c>
      <c r="C46" s="154">
        <f>+C44+C45</f>
        <v>954.6698714844223</v>
      </c>
      <c r="D46" s="154">
        <f aca="true" t="shared" si="7" ref="D46:L46">+D44+D45</f>
        <v>963.0091778786564</v>
      </c>
      <c r="E46" s="154">
        <f t="shared" si="7"/>
        <v>971.7810038782605</v>
      </c>
      <c r="F46" s="154">
        <f t="shared" si="7"/>
        <v>980.7039828962882</v>
      </c>
      <c r="G46" s="154">
        <f t="shared" si="7"/>
        <v>988.8233224221148</v>
      </c>
      <c r="H46" s="154">
        <f t="shared" si="7"/>
        <v>991.546502331964</v>
      </c>
      <c r="I46" s="154">
        <f t="shared" si="7"/>
        <v>993.1779512164106</v>
      </c>
      <c r="J46" s="154">
        <f t="shared" si="7"/>
        <v>994.6694794785553</v>
      </c>
      <c r="K46" s="154">
        <f t="shared" si="7"/>
        <v>996.0103921768848</v>
      </c>
      <c r="L46" s="154">
        <f t="shared" si="7"/>
        <v>997.1305598120475</v>
      </c>
    </row>
    <row r="47" spans="1:12" s="145" customFormat="1" ht="15.75">
      <c r="A47" s="148"/>
      <c r="B47" s="20" t="s">
        <v>215</v>
      </c>
      <c r="C47" s="143">
        <f>+'P y G'!C48*C30/C141</f>
        <v>3.3653202378198475</v>
      </c>
      <c r="D47" s="143">
        <f>+'P y G'!D48*D30/D141</f>
        <v>4.137382100989079</v>
      </c>
      <c r="E47" s="143">
        <f>+'P y G'!E48*E30/E141</f>
        <v>4.972023860617131</v>
      </c>
      <c r="F47" s="143">
        <f>+'P y G'!F48*F30/F141</f>
        <v>5.8679663100945705</v>
      </c>
      <c r="G47" s="143">
        <f>+'P y G'!G48*G30/G141</f>
        <v>6.51214688132824</v>
      </c>
      <c r="H47" s="143">
        <f>+'P y G'!H48*H30/H141</f>
        <v>6.716031294309991</v>
      </c>
      <c r="I47" s="143">
        <f>+'P y G'!I48*I30/I141</f>
        <v>6.631104937519102</v>
      </c>
      <c r="J47" s="143">
        <f>+'P y G'!J48*J30/J141</f>
        <v>6.506097196176205</v>
      </c>
      <c r="K47" s="143">
        <f>+'P y G'!K48*K30/K141</f>
        <v>6.33788341481585</v>
      </c>
      <c r="L47" s="143">
        <f>+'P y G'!L48*L30/L141</f>
        <v>6.1037410912877945</v>
      </c>
    </row>
    <row r="48" spans="1:12" s="145" customFormat="1" ht="15.75">
      <c r="A48" s="148"/>
      <c r="B48" s="56" t="s">
        <v>249</v>
      </c>
      <c r="C48" s="154">
        <f aca="true" t="shared" si="8" ref="C48:L48">+C46-C47</f>
        <v>951.3045512466024</v>
      </c>
      <c r="D48" s="154">
        <f t="shared" si="8"/>
        <v>958.8717957776673</v>
      </c>
      <c r="E48" s="154">
        <f t="shared" si="8"/>
        <v>966.8089800176434</v>
      </c>
      <c r="F48" s="154">
        <f t="shared" si="8"/>
        <v>974.8360165861936</v>
      </c>
      <c r="G48" s="154">
        <f t="shared" si="8"/>
        <v>982.3111755407865</v>
      </c>
      <c r="H48" s="154">
        <f t="shared" si="8"/>
        <v>984.830471037654</v>
      </c>
      <c r="I48" s="154">
        <f t="shared" si="8"/>
        <v>986.5468462788915</v>
      </c>
      <c r="J48" s="154">
        <f t="shared" si="8"/>
        <v>988.1633822823791</v>
      </c>
      <c r="K48" s="154">
        <f t="shared" si="8"/>
        <v>989.6725087620689</v>
      </c>
      <c r="L48" s="154">
        <f t="shared" si="8"/>
        <v>991.0268187207597</v>
      </c>
    </row>
    <row r="49" spans="1:12" s="145" customFormat="1" ht="4.5" customHeight="1">
      <c r="A49" s="148"/>
      <c r="B49" s="147"/>
      <c r="C49" s="146"/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2" s="145" customFormat="1" ht="15.75">
      <c r="A50" s="148"/>
      <c r="B50" s="147"/>
      <c r="C50" s="153">
        <f>+C48+C27-'P y G'!C49</f>
        <v>-1.4551915228366852E-11</v>
      </c>
      <c r="D50" s="153">
        <f>+D48+D27-'P y G'!D49</f>
        <v>-3.637978807091713E-12</v>
      </c>
      <c r="E50" s="153">
        <f>+E48+E27-'P y G'!E49</f>
        <v>0</v>
      </c>
      <c r="F50" s="153">
        <f>+F48+F27-'P y G'!F49</f>
        <v>1.1823431123048067E-11</v>
      </c>
      <c r="G50" s="153">
        <f>+G48+G27-'P y G'!G49</f>
        <v>0</v>
      </c>
      <c r="H50" s="153">
        <f>+H48+H27-'P y G'!H49</f>
        <v>0</v>
      </c>
      <c r="I50" s="153">
        <f>+I48+I27-'P y G'!I49</f>
        <v>1.9099388737231493E-11</v>
      </c>
      <c r="J50" s="153">
        <f>+J48+J27-'P y G'!J49</f>
        <v>1.3642420526593924E-11</v>
      </c>
      <c r="K50" s="153">
        <f>+K48+K27-'P y G'!K49</f>
        <v>7.275957614183426E-12</v>
      </c>
      <c r="L50" s="153">
        <f>+L48+L27-'P y G'!L49</f>
        <v>0</v>
      </c>
    </row>
    <row r="51" spans="1:12" s="145" customFormat="1" ht="4.5" customHeight="1">
      <c r="A51" s="148"/>
      <c r="B51" s="147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s="145" customFormat="1" ht="15.75">
      <c r="A52" s="148"/>
      <c r="B52" s="56" t="s">
        <v>239</v>
      </c>
      <c r="C52" s="154">
        <f>+'Flujo de Caja'!D29</f>
        <v>149.84507684922573</v>
      </c>
      <c r="D52" s="154">
        <f>+'Flujo de Caja'!E29</f>
        <v>401.84931920004874</v>
      </c>
      <c r="E52" s="154">
        <f>+'Flujo de Caja'!F29</f>
        <v>429.8654940484603</v>
      </c>
      <c r="F52" s="154">
        <f>+'Flujo de Caja'!G29</f>
        <v>459.2616787915322</v>
      </c>
      <c r="G52" s="154">
        <f>+'Flujo de Caja'!H29</f>
        <v>474.7166503853832</v>
      </c>
      <c r="H52" s="154">
        <f>+'Flujo de Caja'!I29</f>
        <v>289.91900476714636</v>
      </c>
      <c r="I52" s="154">
        <f>+'Flujo de Caja'!J29</f>
        <v>282.56572371429684</v>
      </c>
      <c r="J52" s="154">
        <f>+'Flujo de Caja'!K29</f>
        <v>291.88867248367933</v>
      </c>
      <c r="K52" s="154">
        <f>+'Flujo de Caja'!L29</f>
        <v>301.46778058395284</v>
      </c>
      <c r="L52" s="154">
        <f>+'Flujo de Caja'!M29</f>
        <v>312.826375483477</v>
      </c>
    </row>
    <row r="53" spans="1:12" s="145" customFormat="1" ht="15.75" hidden="1">
      <c r="A53" s="148"/>
      <c r="B53" s="147"/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1:12" s="145" customFormat="1" ht="4.5" customHeight="1" hidden="1">
      <c r="A54" s="148"/>
      <c r="B54" s="147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s="145" customFormat="1" ht="15.75" hidden="1">
      <c r="A55" s="148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s="145" customFormat="1" ht="15.75" hidden="1">
      <c r="A56" s="148"/>
      <c r="B56" s="144"/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1:12" s="145" customFormat="1" ht="15.75" hidden="1">
      <c r="A57" s="148"/>
      <c r="B57" s="144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s="145" customFormat="1" ht="15.75" hidden="1">
      <c r="A58" s="148"/>
      <c r="B58" s="56"/>
      <c r="C58" s="154"/>
      <c r="D58" s="154"/>
      <c r="E58" s="154"/>
      <c r="F58" s="154"/>
      <c r="G58" s="154"/>
      <c r="H58" s="154"/>
      <c r="I58" s="154"/>
      <c r="J58" s="154"/>
      <c r="K58" s="154"/>
      <c r="L58" s="154"/>
    </row>
    <row r="59" spans="1:12" s="145" customFormat="1" ht="15.75" hidden="1">
      <c r="A59" s="148"/>
      <c r="B59" s="56"/>
      <c r="C59" s="154"/>
      <c r="D59" s="154"/>
      <c r="E59" s="154"/>
      <c r="F59" s="154"/>
      <c r="G59" s="154"/>
      <c r="H59" s="154"/>
      <c r="I59" s="154"/>
      <c r="J59" s="154"/>
      <c r="K59" s="154"/>
      <c r="L59" s="154"/>
    </row>
    <row r="60" spans="1:12" s="145" customFormat="1" ht="15.75" hidden="1">
      <c r="A60" s="148"/>
      <c r="B60" s="20"/>
      <c r="C60" s="143"/>
      <c r="D60" s="143"/>
      <c r="E60" s="143"/>
      <c r="F60" s="143"/>
      <c r="G60" s="143"/>
      <c r="H60" s="143"/>
      <c r="I60" s="143"/>
      <c r="J60" s="143"/>
      <c r="K60" s="143"/>
      <c r="L60" s="143"/>
    </row>
    <row r="61" spans="1:12" s="145" customFormat="1" ht="15.75" hidden="1">
      <c r="A61" s="148"/>
      <c r="B61" s="20"/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1:12" s="145" customFormat="1" ht="15.75" hidden="1">
      <c r="A62" s="148"/>
      <c r="B62" s="20"/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1:12" s="145" customFormat="1" ht="15.75" hidden="1">
      <c r="A63" s="148"/>
      <c r="B63" s="20"/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12" s="145" customFormat="1" ht="15.75" hidden="1">
      <c r="A64" s="148"/>
      <c r="B64" s="20"/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1:12" s="145" customFormat="1" ht="15.75" hidden="1">
      <c r="A65" s="148"/>
      <c r="B65" s="20"/>
      <c r="C65" s="143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1:12" s="145" customFormat="1" ht="15.75" hidden="1">
      <c r="A66" s="148"/>
      <c r="B66" s="20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1:12" s="145" customFormat="1" ht="15.75" hidden="1">
      <c r="A67" s="148"/>
      <c r="B67" s="20"/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s="145" customFormat="1" ht="15.75" hidden="1">
      <c r="A68" s="148"/>
      <c r="B68" s="20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 s="145" customFormat="1" ht="15.75" hidden="1">
      <c r="A69" s="148"/>
      <c r="B69" s="20"/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1:12" s="145" customFormat="1" ht="15.75" hidden="1">
      <c r="A70" s="148"/>
      <c r="B70" s="56"/>
      <c r="C70" s="154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2" s="145" customFormat="1" ht="15.75" hidden="1">
      <c r="A71" s="148"/>
      <c r="B71" s="20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1:12" s="145" customFormat="1" ht="15.75" hidden="1">
      <c r="A72" s="148"/>
      <c r="B72" s="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</row>
    <row r="73" spans="1:12" s="145" customFormat="1" ht="15.75" hidden="1">
      <c r="A73" s="148"/>
      <c r="B73" s="20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s="145" customFormat="1" ht="15.75" hidden="1">
      <c r="A74" s="148"/>
      <c r="B74" s="56"/>
      <c r="C74" s="154"/>
      <c r="D74" s="154"/>
      <c r="E74" s="154"/>
      <c r="F74" s="154"/>
      <c r="G74" s="154"/>
      <c r="H74" s="154"/>
      <c r="I74" s="154"/>
      <c r="J74" s="154"/>
      <c r="K74" s="154"/>
      <c r="L74" s="154"/>
    </row>
    <row r="75" spans="1:12" s="145" customFormat="1" ht="4.5" customHeight="1" hidden="1">
      <c r="A75" s="148"/>
      <c r="B75" s="147"/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1:12" s="145" customFormat="1" ht="15.75" hidden="1">
      <c r="A76" s="148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145" customFormat="1" ht="15.75" hidden="1">
      <c r="A77" s="148"/>
      <c r="B77" s="144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s="145" customFormat="1" ht="15.75" hidden="1">
      <c r="A78" s="148"/>
      <c r="B78" s="144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s="145" customFormat="1" ht="15.75" hidden="1">
      <c r="A79" s="148"/>
      <c r="B79" s="56"/>
      <c r="C79" s="154"/>
      <c r="D79" s="154"/>
      <c r="E79" s="154"/>
      <c r="F79" s="154"/>
      <c r="G79" s="154"/>
      <c r="H79" s="154"/>
      <c r="I79" s="154"/>
      <c r="J79" s="154"/>
      <c r="K79" s="154"/>
      <c r="L79" s="154"/>
    </row>
    <row r="80" spans="1:12" s="145" customFormat="1" ht="15.75" hidden="1">
      <c r="A80" s="148"/>
      <c r="B80" s="56"/>
      <c r="C80" s="154"/>
      <c r="D80" s="154"/>
      <c r="E80" s="154"/>
      <c r="F80" s="154"/>
      <c r="G80" s="154"/>
      <c r="H80" s="154"/>
      <c r="I80" s="154"/>
      <c r="J80" s="154"/>
      <c r="K80" s="154"/>
      <c r="L80" s="154"/>
    </row>
    <row r="81" spans="1:12" s="145" customFormat="1" ht="15.75" hidden="1">
      <c r="A81" s="148"/>
      <c r="B81" s="20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s="145" customFormat="1" ht="15.75" hidden="1">
      <c r="A82" s="148"/>
      <c r="B82" s="20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s="145" customFormat="1" ht="15.75" hidden="1">
      <c r="A83" s="148"/>
      <c r="B83" s="20"/>
      <c r="C83" s="143"/>
      <c r="D83" s="143"/>
      <c r="E83" s="143"/>
      <c r="F83" s="143"/>
      <c r="G83" s="143"/>
      <c r="H83" s="143"/>
      <c r="I83" s="143"/>
      <c r="J83" s="143"/>
      <c r="K83" s="143"/>
      <c r="L83" s="143"/>
    </row>
    <row r="84" spans="1:12" s="145" customFormat="1" ht="15.75" hidden="1">
      <c r="A84" s="148"/>
      <c r="B84" s="20"/>
      <c r="C84" s="143"/>
      <c r="D84" s="143"/>
      <c r="E84" s="143"/>
      <c r="F84" s="143"/>
      <c r="G84" s="143"/>
      <c r="H84" s="143"/>
      <c r="I84" s="143"/>
      <c r="J84" s="143"/>
      <c r="K84" s="143"/>
      <c r="L84" s="143"/>
    </row>
    <row r="85" spans="1:12" s="145" customFormat="1" ht="15.75" hidden="1">
      <c r="A85" s="148"/>
      <c r="B85" s="20"/>
      <c r="C85" s="143"/>
      <c r="D85" s="143"/>
      <c r="E85" s="143"/>
      <c r="F85" s="143"/>
      <c r="G85" s="143"/>
      <c r="H85" s="143"/>
      <c r="I85" s="143"/>
      <c r="J85" s="143"/>
      <c r="K85" s="143"/>
      <c r="L85" s="143"/>
    </row>
    <row r="86" spans="1:12" s="145" customFormat="1" ht="15.75" hidden="1">
      <c r="A86" s="148"/>
      <c r="B86" s="20"/>
      <c r="C86" s="143"/>
      <c r="D86" s="143"/>
      <c r="E86" s="143"/>
      <c r="F86" s="143"/>
      <c r="G86" s="143"/>
      <c r="H86" s="143"/>
      <c r="I86" s="143"/>
      <c r="J86" s="143"/>
      <c r="K86" s="143"/>
      <c r="L86" s="143"/>
    </row>
    <row r="87" spans="1:12" s="145" customFormat="1" ht="15.75" hidden="1">
      <c r="A87" s="148"/>
      <c r="B87" s="20"/>
      <c r="C87" s="143"/>
      <c r="D87" s="143"/>
      <c r="E87" s="143"/>
      <c r="F87" s="143"/>
      <c r="G87" s="143"/>
      <c r="H87" s="143"/>
      <c r="I87" s="143"/>
      <c r="J87" s="143"/>
      <c r="K87" s="143"/>
      <c r="L87" s="143"/>
    </row>
    <row r="88" spans="1:12" s="145" customFormat="1" ht="15.75" hidden="1">
      <c r="A88" s="148"/>
      <c r="B88" s="20"/>
      <c r="C88" s="143"/>
      <c r="D88" s="143"/>
      <c r="E88" s="143"/>
      <c r="F88" s="143"/>
      <c r="G88" s="143"/>
      <c r="H88" s="143"/>
      <c r="I88" s="143"/>
      <c r="J88" s="143"/>
      <c r="K88" s="143"/>
      <c r="L88" s="143"/>
    </row>
    <row r="89" spans="1:12" s="145" customFormat="1" ht="15.75" hidden="1">
      <c r="A89" s="148"/>
      <c r="B89" s="20"/>
      <c r="C89" s="143"/>
      <c r="D89" s="143"/>
      <c r="E89" s="143"/>
      <c r="F89" s="143"/>
      <c r="G89" s="143"/>
      <c r="H89" s="143"/>
      <c r="I89" s="143"/>
      <c r="J89" s="143"/>
      <c r="K89" s="143"/>
      <c r="L89" s="143"/>
    </row>
    <row r="90" spans="1:12" s="145" customFormat="1" ht="15.75" hidden="1">
      <c r="A90" s="148"/>
      <c r="B90" s="20"/>
      <c r="C90" s="143"/>
      <c r="D90" s="143"/>
      <c r="E90" s="143"/>
      <c r="F90" s="143"/>
      <c r="G90" s="143"/>
      <c r="H90" s="143"/>
      <c r="I90" s="143"/>
      <c r="J90" s="143"/>
      <c r="K90" s="143"/>
      <c r="L90" s="143"/>
    </row>
    <row r="91" spans="1:12" s="145" customFormat="1" ht="15.75" hidden="1">
      <c r="A91" s="148"/>
      <c r="B91" s="56"/>
      <c r="C91" s="154"/>
      <c r="D91" s="154"/>
      <c r="E91" s="154"/>
      <c r="F91" s="154"/>
      <c r="G91" s="154"/>
      <c r="H91" s="154"/>
      <c r="I91" s="154"/>
      <c r="J91" s="154"/>
      <c r="K91" s="154"/>
      <c r="L91" s="154"/>
    </row>
    <row r="92" spans="1:12" s="145" customFormat="1" ht="15.75" hidden="1">
      <c r="A92" s="148"/>
      <c r="B92" s="20"/>
      <c r="C92" s="143"/>
      <c r="D92" s="143"/>
      <c r="E92" s="143"/>
      <c r="F92" s="143"/>
      <c r="G92" s="143"/>
      <c r="H92" s="143"/>
      <c r="I92" s="143"/>
      <c r="J92" s="143"/>
      <c r="K92" s="143"/>
      <c r="L92" s="143"/>
    </row>
    <row r="93" spans="1:12" s="145" customFormat="1" ht="15.75" hidden="1">
      <c r="A93" s="148"/>
      <c r="B93" s="56"/>
      <c r="C93" s="154"/>
      <c r="D93" s="154"/>
      <c r="E93" s="154"/>
      <c r="F93" s="154"/>
      <c r="G93" s="154"/>
      <c r="H93" s="154"/>
      <c r="I93" s="154"/>
      <c r="J93" s="154"/>
      <c r="K93" s="154"/>
      <c r="L93" s="154"/>
    </row>
    <row r="94" spans="1:12" s="145" customFormat="1" ht="15.75" hidden="1">
      <c r="A94" s="148"/>
      <c r="B94" s="20"/>
      <c r="C94" s="143"/>
      <c r="D94" s="143"/>
      <c r="E94" s="143"/>
      <c r="F94" s="143"/>
      <c r="G94" s="143"/>
      <c r="H94" s="143"/>
      <c r="I94" s="143"/>
      <c r="J94" s="143"/>
      <c r="K94" s="143"/>
      <c r="L94" s="143"/>
    </row>
    <row r="95" spans="1:12" s="145" customFormat="1" ht="15.75" hidden="1">
      <c r="A95" s="148"/>
      <c r="B95" s="56"/>
      <c r="C95" s="154"/>
      <c r="D95" s="154"/>
      <c r="E95" s="154"/>
      <c r="F95" s="154"/>
      <c r="G95" s="154"/>
      <c r="H95" s="154"/>
      <c r="I95" s="154"/>
      <c r="J95" s="154"/>
      <c r="K95" s="154"/>
      <c r="L95" s="154"/>
    </row>
    <row r="96" spans="1:12" s="145" customFormat="1" ht="31.5" customHeight="1" hidden="1">
      <c r="A96" s="148"/>
      <c r="B96" s="147"/>
      <c r="C96" s="146"/>
      <c r="D96" s="146"/>
      <c r="E96" s="146"/>
      <c r="F96" s="146"/>
      <c r="G96" s="146"/>
      <c r="H96" s="146"/>
      <c r="I96" s="146"/>
      <c r="J96" s="146"/>
      <c r="K96" s="146"/>
      <c r="L96" s="146"/>
    </row>
    <row r="97" spans="1:12" s="145" customFormat="1" ht="15.75" hidden="1">
      <c r="A97" s="148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s="145" customFormat="1" ht="15.75" hidden="1">
      <c r="A98" s="148"/>
      <c r="B98" s="144"/>
      <c r="C98" s="143"/>
      <c r="D98" s="143"/>
      <c r="E98" s="143"/>
      <c r="F98" s="143"/>
      <c r="G98" s="143"/>
      <c r="H98" s="143"/>
      <c r="I98" s="143"/>
      <c r="J98" s="143"/>
      <c r="K98" s="143"/>
      <c r="L98" s="143"/>
    </row>
    <row r="99" spans="1:12" s="145" customFormat="1" ht="15.75" hidden="1">
      <c r="A99" s="148"/>
      <c r="B99" s="144"/>
      <c r="C99" s="143"/>
      <c r="D99" s="143"/>
      <c r="E99" s="143"/>
      <c r="F99" s="143"/>
      <c r="G99" s="143"/>
      <c r="H99" s="143"/>
      <c r="I99" s="143"/>
      <c r="J99" s="143"/>
      <c r="K99" s="143"/>
      <c r="L99" s="143"/>
    </row>
    <row r="100" spans="1:12" s="145" customFormat="1" ht="15.75" hidden="1">
      <c r="A100" s="148"/>
      <c r="B100" s="56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</row>
    <row r="101" spans="1:12" s="145" customFormat="1" ht="15.75" hidden="1">
      <c r="A101" s="148"/>
      <c r="B101" s="56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</row>
    <row r="102" spans="1:12" s="145" customFormat="1" ht="15.75" hidden="1">
      <c r="A102" s="148"/>
      <c r="B102" s="20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</row>
    <row r="103" spans="1:12" s="145" customFormat="1" ht="15.75" hidden="1">
      <c r="A103" s="148"/>
      <c r="B103" s="20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45" customFormat="1" ht="15.75" hidden="1">
      <c r="A104" s="148"/>
      <c r="B104" s="20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45" customFormat="1" ht="15.75" hidden="1">
      <c r="A105" s="148"/>
      <c r="B105" s="20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45" customFormat="1" ht="15.75" hidden="1">
      <c r="A106" s="148"/>
      <c r="B106" s="20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45" customFormat="1" ht="15.75" hidden="1">
      <c r="A107" s="148"/>
      <c r="B107" s="20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45" customFormat="1" ht="15.75" hidden="1">
      <c r="A108" s="148"/>
      <c r="B108" s="20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</row>
    <row r="109" spans="1:12" s="145" customFormat="1" ht="15.75" hidden="1">
      <c r="A109" s="148"/>
      <c r="B109" s="20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s="145" customFormat="1" ht="15.75" hidden="1">
      <c r="A110" s="148"/>
      <c r="B110" s="20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s="145" customFormat="1" ht="15.75" hidden="1">
      <c r="A111" s="148"/>
      <c r="B111" s="20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s="145" customFormat="1" ht="15.75" hidden="1">
      <c r="A112" s="148"/>
      <c r="B112" s="56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</row>
    <row r="113" spans="1:12" s="145" customFormat="1" ht="15.75" hidden="1">
      <c r="A113" s="148"/>
      <c r="B113" s="20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s="145" customFormat="1" ht="15.75" hidden="1">
      <c r="A114" s="148"/>
      <c r="B114" s="56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</row>
    <row r="115" spans="1:12" s="145" customFormat="1" ht="15.75" hidden="1">
      <c r="A115" s="148"/>
      <c r="B115" s="20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</row>
    <row r="116" spans="1:12" s="145" customFormat="1" ht="15.75" hidden="1">
      <c r="A116" s="148"/>
      <c r="B116" s="56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</row>
    <row r="117" spans="1:12" s="145" customFormat="1" ht="15.75" hidden="1">
      <c r="A117" s="148"/>
      <c r="B117" s="147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</row>
    <row r="118" spans="1:12" s="145" customFormat="1" ht="15.75">
      <c r="A118" s="148"/>
      <c r="B118" s="159" t="s">
        <v>201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</row>
    <row r="119" spans="1:12" s="145" customFormat="1" ht="15.75">
      <c r="A119" s="148"/>
      <c r="B119" s="149" t="str">
        <f>+B6</f>
        <v>Masivo Puro</v>
      </c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</row>
    <row r="120" spans="1:12" s="145" customFormat="1" ht="4.5" customHeight="1">
      <c r="A120" s="148"/>
      <c r="B120" s="147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1:12" s="145" customFormat="1" ht="15.75">
      <c r="A121" s="148"/>
      <c r="B121" s="53" t="s">
        <v>216</v>
      </c>
      <c r="C121" s="54">
        <f>+C29</f>
        <v>2010</v>
      </c>
      <c r="E121" s="142"/>
      <c r="F121" s="142"/>
      <c r="G121" s="142"/>
      <c r="H121" s="142"/>
      <c r="I121" s="142"/>
      <c r="J121" s="142"/>
      <c r="K121" s="142"/>
      <c r="L121" s="142"/>
    </row>
    <row r="122" spans="1:12" s="145" customFormat="1" ht="15.75">
      <c r="A122" s="148"/>
      <c r="B122" s="56" t="s">
        <v>218</v>
      </c>
      <c r="C122" s="143"/>
      <c r="H122" s="142"/>
      <c r="I122" s="142"/>
      <c r="J122" s="142"/>
      <c r="K122" s="142"/>
      <c r="L122" s="142"/>
    </row>
    <row r="123" spans="1:12" s="145" customFormat="1" ht="15.75">
      <c r="A123" s="148"/>
      <c r="B123" s="20" t="s">
        <v>222</v>
      </c>
      <c r="C123" s="143">
        <f>(C13/$C$9*1000000)*(1+'Costo de Capital'!$F$8)</f>
        <v>82.21649875529964</v>
      </c>
      <c r="D123" s="171"/>
      <c r="E123" s="180"/>
      <c r="F123" s="180"/>
      <c r="G123" s="171"/>
      <c r="H123" s="153"/>
      <c r="I123" s="142"/>
      <c r="J123" s="142"/>
      <c r="K123" s="142"/>
      <c r="L123" s="142"/>
    </row>
    <row r="124" spans="1:12" s="145" customFormat="1" ht="15.75">
      <c r="A124" s="148"/>
      <c r="B124" s="20" t="s">
        <v>223</v>
      </c>
      <c r="C124" s="143">
        <f>(C14/$C$9*1000000)*(1+'Costo de Capital'!$F$8)</f>
        <v>13.79473133741117</v>
      </c>
      <c r="D124" s="171"/>
      <c r="E124" s="142"/>
      <c r="F124" s="142"/>
      <c r="G124" s="142"/>
      <c r="H124" s="142"/>
      <c r="I124" s="142"/>
      <c r="J124" s="142"/>
      <c r="K124" s="142"/>
      <c r="L124" s="142"/>
    </row>
    <row r="125" spans="1:12" s="145" customFormat="1" ht="15.75">
      <c r="A125" s="148"/>
      <c r="B125" s="20" t="s">
        <v>224</v>
      </c>
      <c r="C125" s="143">
        <f>(C15/$C$9*1000000)*(1+'Costo de Capital'!$F$8)</f>
        <v>67.96709344997566</v>
      </c>
      <c r="D125" s="171"/>
      <c r="E125" s="175"/>
      <c r="F125" s="175"/>
      <c r="G125" s="175"/>
      <c r="H125" s="175"/>
      <c r="I125" s="142"/>
      <c r="J125" s="142"/>
      <c r="K125" s="142"/>
      <c r="L125" s="142"/>
    </row>
    <row r="126" spans="1:12" s="145" customFormat="1" ht="15.75">
      <c r="A126" s="148"/>
      <c r="B126" s="20" t="s">
        <v>225</v>
      </c>
      <c r="C126" s="143">
        <f>(C16/$C$9*1000000)*(1+'Costo de Capital'!$F$8)</f>
        <v>15.505862416941172</v>
      </c>
      <c r="D126" s="171"/>
      <c r="E126" s="177"/>
      <c r="F126" s="153"/>
      <c r="G126" s="153"/>
      <c r="H126" s="142"/>
      <c r="I126" s="142"/>
      <c r="J126" s="142"/>
      <c r="K126" s="142"/>
      <c r="L126" s="142"/>
    </row>
    <row r="127" spans="1:12" s="145" customFormat="1" ht="15.75">
      <c r="A127" s="148"/>
      <c r="B127" s="20" t="s">
        <v>226</v>
      </c>
      <c r="C127" s="143">
        <f>(C17/$C$9*1000000)*(1+'Costo de Capital'!$F$8)</f>
        <v>158.1721904217766</v>
      </c>
      <c r="D127" s="171"/>
      <c r="E127" s="171"/>
      <c r="G127" s="153"/>
      <c r="H127" s="142"/>
      <c r="I127" s="142"/>
      <c r="J127" s="142"/>
      <c r="K127" s="142"/>
      <c r="L127" s="142"/>
    </row>
    <row r="128" spans="1:12" s="145" customFormat="1" ht="15.75">
      <c r="A128" s="148"/>
      <c r="B128" s="20" t="s">
        <v>227</v>
      </c>
      <c r="C128" s="143">
        <f>(C18/$C$9*1000000)*(1+'Costo de Capital'!$F$8)</f>
        <v>3.728152423672758</v>
      </c>
      <c r="D128" s="171"/>
      <c r="E128" s="177"/>
      <c r="F128" s="177"/>
      <c r="G128" s="177"/>
      <c r="H128" s="177"/>
      <c r="I128" s="142"/>
      <c r="J128" s="142"/>
      <c r="K128" s="142"/>
      <c r="L128" s="142"/>
    </row>
    <row r="129" spans="1:12" s="145" customFormat="1" ht="15.75">
      <c r="A129" s="148"/>
      <c r="B129" s="20" t="s">
        <v>228</v>
      </c>
      <c r="C129" s="143">
        <f>(C19/$C$9*1000000)*(1+'Costo de Capital'!$F$8)</f>
        <v>0.34380760825137924</v>
      </c>
      <c r="D129" s="171"/>
      <c r="E129" s="142"/>
      <c r="F129" s="142"/>
      <c r="G129" s="142"/>
      <c r="H129" s="177"/>
      <c r="I129" s="142"/>
      <c r="J129" s="142"/>
      <c r="K129" s="142"/>
      <c r="L129" s="142"/>
    </row>
    <row r="130" spans="1:12" s="145" customFormat="1" ht="15.75">
      <c r="A130" s="148"/>
      <c r="B130" s="20" t="s">
        <v>229</v>
      </c>
      <c r="C130" s="143">
        <f>(C20/$C$9*1000000)*(1+'Costo de Capital'!$F$8)</f>
        <v>0.09598404490869542</v>
      </c>
      <c r="D130" s="171"/>
      <c r="E130" s="142"/>
      <c r="F130" s="142"/>
      <c r="G130" s="142"/>
      <c r="H130" s="177"/>
      <c r="I130" s="142"/>
      <c r="J130" s="142"/>
      <c r="K130" s="142"/>
      <c r="L130" s="142"/>
    </row>
    <row r="131" spans="1:12" s="145" customFormat="1" ht="15.75">
      <c r="A131" s="148"/>
      <c r="B131" s="20" t="s">
        <v>247</v>
      </c>
      <c r="C131" s="143">
        <f>(C22/$C$9*1000000)*(1+'Costo de Capital'!$F$8)</f>
        <v>9.422913506796041</v>
      </c>
      <c r="D131" s="171"/>
      <c r="E131" s="142"/>
      <c r="F131" s="142"/>
      <c r="G131" s="142"/>
      <c r="H131" s="177"/>
      <c r="I131" s="142"/>
      <c r="J131" s="142"/>
      <c r="K131" s="142"/>
      <c r="L131" s="142"/>
    </row>
    <row r="132" spans="1:12" s="145" customFormat="1" ht="15.75">
      <c r="A132" s="148"/>
      <c r="B132" s="158" t="s">
        <v>220</v>
      </c>
      <c r="C132" s="154">
        <f>SUM(C123:C131)</f>
        <v>351.2472339650331</v>
      </c>
      <c r="D132" s="171"/>
      <c r="E132" s="181"/>
      <c r="F132" s="179"/>
      <c r="G132" s="177"/>
      <c r="H132" s="177"/>
      <c r="I132" s="142"/>
      <c r="J132" s="142"/>
      <c r="K132" s="142"/>
      <c r="L132" s="142"/>
    </row>
    <row r="133" spans="1:12" s="145" customFormat="1" ht="15.75">
      <c r="A133" s="148"/>
      <c r="B133" s="56" t="s">
        <v>219</v>
      </c>
      <c r="C133" s="143"/>
      <c r="D133" s="171"/>
      <c r="E133" s="179"/>
      <c r="F133" s="179"/>
      <c r="G133" s="177"/>
      <c r="H133" s="177"/>
      <c r="I133" s="142"/>
      <c r="J133" s="142"/>
      <c r="K133" s="142"/>
      <c r="L133" s="142"/>
    </row>
    <row r="134" spans="1:12" s="145" customFormat="1" ht="15.75">
      <c r="A134" s="148"/>
      <c r="B134" s="20" t="s">
        <v>230</v>
      </c>
      <c r="C134" s="143">
        <f>(C21/$C$9*1000000)*(1+'Costo de Capital'!$F$8)</f>
        <v>28.149247925581665</v>
      </c>
      <c r="D134" s="171"/>
      <c r="E134" s="181"/>
      <c r="F134" s="181"/>
      <c r="G134" s="177"/>
      <c r="H134" s="177"/>
      <c r="I134" s="142"/>
      <c r="J134" s="142"/>
      <c r="K134" s="142"/>
      <c r="L134" s="142"/>
    </row>
    <row r="135" spans="1:12" s="145" customFormat="1" ht="15.75">
      <c r="A135" s="148"/>
      <c r="B135" s="20" t="s">
        <v>231</v>
      </c>
      <c r="C135" s="143">
        <f>(C26/$C$9*1000000)*(1+'Costo de Capital'!$F$8)</f>
        <v>13.20363618383906</v>
      </c>
      <c r="D135" s="171"/>
      <c r="E135" s="171"/>
      <c r="F135" s="181"/>
      <c r="G135" s="177"/>
      <c r="H135" s="177"/>
      <c r="I135" s="142"/>
      <c r="J135" s="142"/>
      <c r="K135" s="142"/>
      <c r="L135" s="142"/>
    </row>
    <row r="136" spans="1:12" s="145" customFormat="1" ht="15.75">
      <c r="A136" s="148"/>
      <c r="B136" s="158" t="s">
        <v>221</v>
      </c>
      <c r="C136" s="154">
        <f>SUM(C134:C135)</f>
        <v>41.35288410942073</v>
      </c>
      <c r="D136" s="171"/>
      <c r="E136" s="179"/>
      <c r="F136" s="179"/>
      <c r="G136" s="177"/>
      <c r="H136" s="177"/>
      <c r="I136" s="142"/>
      <c r="J136" s="142"/>
      <c r="K136" s="142"/>
      <c r="L136" s="142"/>
    </row>
    <row r="137" spans="1:12" s="145" customFormat="1" ht="15.75">
      <c r="A137" s="148"/>
      <c r="B137" s="56" t="s">
        <v>240</v>
      </c>
      <c r="C137" s="154">
        <f>($C$11/($C$11+$C$32)*$C$52)/$C$9*1000000</f>
        <v>1.2638163116166747</v>
      </c>
      <c r="D137" s="171"/>
      <c r="E137" s="179"/>
      <c r="F137" s="179"/>
      <c r="G137" s="177"/>
      <c r="H137" s="177"/>
      <c r="I137" s="142"/>
      <c r="J137" s="142"/>
      <c r="K137" s="142"/>
      <c r="L137" s="142"/>
    </row>
    <row r="138" spans="1:12" s="145" customFormat="1" ht="15.75">
      <c r="A138" s="148"/>
      <c r="B138" s="157" t="s">
        <v>217</v>
      </c>
      <c r="C138" s="154">
        <f>+C132+C136+C137</f>
        <v>393.86393438607047</v>
      </c>
      <c r="D138" s="171"/>
      <c r="E138" s="171"/>
      <c r="F138" s="179"/>
      <c r="G138" s="177"/>
      <c r="H138" s="177"/>
      <c r="I138" s="142"/>
      <c r="J138" s="142"/>
      <c r="K138" s="142"/>
      <c r="L138" s="142"/>
    </row>
    <row r="139" spans="1:12" s="145" customFormat="1" ht="4.5" customHeight="1">
      <c r="A139" s="148"/>
      <c r="B139" s="147"/>
      <c r="C139" s="153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2:12" ht="15.75">
      <c r="B140" s="53" t="s">
        <v>234</v>
      </c>
      <c r="C140" s="54">
        <f aca="true" t="shared" si="9" ref="C140:L140">+C29</f>
        <v>2010</v>
      </c>
      <c r="D140" s="54">
        <f t="shared" si="9"/>
        <v>2011</v>
      </c>
      <c r="E140" s="54">
        <f t="shared" si="9"/>
        <v>2012</v>
      </c>
      <c r="F140" s="54">
        <f t="shared" si="9"/>
        <v>2013</v>
      </c>
      <c r="G140" s="54">
        <f t="shared" si="9"/>
        <v>2014</v>
      </c>
      <c r="H140" s="54">
        <f t="shared" si="9"/>
        <v>2015</v>
      </c>
      <c r="I140" s="54">
        <f t="shared" si="9"/>
        <v>2016</v>
      </c>
      <c r="J140" s="54">
        <f t="shared" si="9"/>
        <v>2017</v>
      </c>
      <c r="K140" s="54">
        <f t="shared" si="9"/>
        <v>2018</v>
      </c>
      <c r="L140" s="54">
        <f t="shared" si="9"/>
        <v>2019</v>
      </c>
    </row>
    <row r="141" spans="2:12" ht="15.75">
      <c r="B141" s="144" t="s">
        <v>232</v>
      </c>
      <c r="C141" s="143">
        <f>+'[2]Demanda'!D17*1000000+C155</f>
        <v>115954286.74420416</v>
      </c>
      <c r="D141" s="143">
        <f>+'[2]Demanda'!E17*1000000</f>
        <v>122905995.22990553</v>
      </c>
      <c r="E141" s="143">
        <f>+'[2]Demanda'!F17*1000000</f>
        <v>130274583.94733727</v>
      </c>
      <c r="F141" s="143">
        <f>+'[2]Demanda'!G17*1000000</f>
        <v>138085056.8045273</v>
      </c>
      <c r="G141" s="143">
        <f>+'[2]Demanda'!H17*1000000</f>
        <v>146363917.58708578</v>
      </c>
      <c r="H141" s="143">
        <f>+'[2]Demanda'!I17*1000000</f>
        <v>155139259.86693424</v>
      </c>
      <c r="I141" s="143">
        <f>+'[2]Demanda'!J17*1000000</f>
        <v>164440862.57930174</v>
      </c>
      <c r="J141" s="143">
        <f>+'[2]Demanda'!K17*1000000</f>
        <v>174300290.92826375</v>
      </c>
      <c r="K141" s="143">
        <f>+'[2]Demanda'!L17*1000000</f>
        <v>184751003.61246818</v>
      </c>
      <c r="L141" s="143">
        <f>+'[2]Demanda'!M17*1000000</f>
        <v>195828466.41806674</v>
      </c>
    </row>
    <row r="142" spans="2:12" ht="15.75">
      <c r="B142" s="144" t="s">
        <v>233</v>
      </c>
      <c r="C142" s="143">
        <f>+'[2]Transporte'!D16</f>
        <v>12768034.45568989</v>
      </c>
      <c r="D142" s="143">
        <f>+'[2]Transporte'!E16</f>
        <v>13530544.1752478</v>
      </c>
      <c r="E142" s="143">
        <f>+'[2]Transporte'!F16</f>
        <v>14338661.372120578</v>
      </c>
      <c r="F142" s="143">
        <f>+'[2]Transporte'!G16</f>
        <v>15195116.761176227</v>
      </c>
      <c r="G142" s="143">
        <f>+'[2]Transporte'!H16</f>
        <v>16102804.670394927</v>
      </c>
      <c r="H142" s="143">
        <f>+'[2]Transporte'!I16</f>
        <v>17064792.840643913</v>
      </c>
      <c r="I142" s="143">
        <f>+'[2]Transporte'!J16</f>
        <v>18084332.843816224</v>
      </c>
      <c r="J142" s="143">
        <f>+'[2]Transporte'!K16</f>
        <v>19164871.080214534</v>
      </c>
      <c r="K142" s="143">
        <f>+'[2]Transporte'!L16</f>
        <v>20310060.465260573</v>
      </c>
      <c r="L142" s="143">
        <f>+'[2]Transporte'!M16</f>
        <v>21523772.80962325</v>
      </c>
    </row>
    <row r="143" spans="1:12" s="145" customFormat="1" ht="4.5" customHeight="1">
      <c r="A143" s="148"/>
      <c r="B143" s="147"/>
      <c r="C143" s="153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2:6" ht="15.75">
      <c r="B144" s="156"/>
      <c r="C144" s="183"/>
      <c r="D144" s="199"/>
      <c r="E144" s="200"/>
      <c r="F144" s="200"/>
    </row>
    <row r="145" spans="2:6" ht="15.75">
      <c r="B145" s="156"/>
      <c r="C145" s="200"/>
      <c r="D145" s="200"/>
      <c r="E145" s="200"/>
      <c r="F145" s="200"/>
    </row>
    <row r="146" spans="2:6" ht="15.75">
      <c r="B146" s="201"/>
      <c r="C146" s="202"/>
      <c r="D146" s="203"/>
      <c r="E146" s="200"/>
      <c r="F146" s="200"/>
    </row>
    <row r="147" spans="2:6" ht="15.75">
      <c r="B147" s="204"/>
      <c r="C147" s="202"/>
      <c r="D147" s="202"/>
      <c r="E147" s="200"/>
      <c r="F147" s="200"/>
    </row>
    <row r="148" spans="2:6" ht="15.75">
      <c r="B148" s="156"/>
      <c r="C148" s="200"/>
      <c r="D148" s="200"/>
      <c r="E148" s="200"/>
      <c r="F148" s="200"/>
    </row>
    <row r="149" spans="2:6" ht="15.75">
      <c r="B149" s="201"/>
      <c r="C149" s="202"/>
      <c r="D149" s="203"/>
      <c r="E149" s="200"/>
      <c r="F149" s="200"/>
    </row>
    <row r="150" spans="2:6" ht="15.75">
      <c r="B150" s="204"/>
      <c r="C150" s="202"/>
      <c r="D150" s="202"/>
      <c r="E150" s="200"/>
      <c r="F150" s="200"/>
    </row>
    <row r="151" spans="2:6" ht="15.75">
      <c r="B151" s="156"/>
      <c r="C151" s="200"/>
      <c r="D151" s="200"/>
      <c r="E151" s="200"/>
      <c r="F151" s="200"/>
    </row>
    <row r="152" spans="2:6" ht="15.75">
      <c r="B152" s="201"/>
      <c r="C152" s="202"/>
      <c r="D152" s="203"/>
      <c r="E152" s="200"/>
      <c r="F152" s="200"/>
    </row>
    <row r="153" spans="2:6" ht="15.75">
      <c r="B153" s="204"/>
      <c r="C153" s="202"/>
      <c r="D153" s="202"/>
      <c r="E153" s="200"/>
      <c r="F153" s="200"/>
    </row>
    <row r="154" spans="1:12" s="145" customFormat="1" ht="4.5" customHeight="1">
      <c r="A154" s="148"/>
      <c r="B154" s="197"/>
      <c r="C154" s="191"/>
      <c r="D154" s="185"/>
      <c r="E154" s="185"/>
      <c r="F154" s="185"/>
      <c r="G154" s="142"/>
      <c r="H154" s="142"/>
      <c r="I154" s="142"/>
      <c r="J154" s="142"/>
      <c r="K154" s="142"/>
      <c r="L154" s="142"/>
    </row>
    <row r="155" spans="2:6" ht="15.75">
      <c r="B155" s="156"/>
      <c r="C155" s="202"/>
      <c r="D155" s="200"/>
      <c r="E155" s="200"/>
      <c r="F155" s="200"/>
    </row>
    <row r="156" spans="1:12" s="145" customFormat="1" ht="4.5" customHeight="1">
      <c r="A156" s="148"/>
      <c r="B156" s="197"/>
      <c r="C156" s="198"/>
      <c r="D156" s="198"/>
      <c r="E156" s="198"/>
      <c r="F156" s="198"/>
      <c r="G156" s="146"/>
      <c r="H156" s="146"/>
      <c r="I156" s="146"/>
      <c r="J156" s="146"/>
      <c r="K156" s="146"/>
      <c r="L156" s="146"/>
    </row>
    <row r="157" spans="1:12" s="145" customFormat="1" ht="15.75">
      <c r="A157" s="148"/>
      <c r="B157" s="147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1:12" s="145" customFormat="1" ht="15.75">
      <c r="A158" s="148"/>
      <c r="B158" s="178" t="s">
        <v>251</v>
      </c>
      <c r="C158" s="54">
        <f>+C121</f>
        <v>2010</v>
      </c>
      <c r="E158" s="142"/>
      <c r="F158" s="142"/>
      <c r="G158" s="142"/>
      <c r="H158" s="142"/>
      <c r="I158" s="142"/>
      <c r="J158" s="142"/>
      <c r="K158" s="142"/>
      <c r="L158" s="142"/>
    </row>
    <row r="159" spans="1:12" s="145" customFormat="1" ht="15.75">
      <c r="A159" s="148"/>
      <c r="B159" s="56" t="s">
        <v>218</v>
      </c>
      <c r="C159" s="143"/>
      <c r="H159" s="142"/>
      <c r="I159" s="142"/>
      <c r="J159" s="142"/>
      <c r="K159" s="142"/>
      <c r="L159" s="142"/>
    </row>
    <row r="160" spans="1:12" s="145" customFormat="1" ht="15.75">
      <c r="A160" s="148"/>
      <c r="B160" s="20" t="s">
        <v>222</v>
      </c>
      <c r="C160" s="143">
        <f>(C34/$C$30*1000000)*(1+'Costo de Capital'!$F$8)</f>
        <v>0</v>
      </c>
      <c r="D160" s="171"/>
      <c r="E160" s="171"/>
      <c r="F160" s="171"/>
      <c r="H160" s="142"/>
      <c r="I160" s="142"/>
      <c r="J160" s="142"/>
      <c r="K160" s="142"/>
      <c r="L160" s="142"/>
    </row>
    <row r="161" spans="1:12" s="145" customFormat="1" ht="15.75">
      <c r="A161" s="148"/>
      <c r="B161" s="20" t="s">
        <v>223</v>
      </c>
      <c r="C161" s="143">
        <f>(C35/$C$30*1000000)*(1+'Costo de Capital'!$F$8)</f>
        <v>56.89746660679811</v>
      </c>
      <c r="E161" s="142"/>
      <c r="F161" s="142"/>
      <c r="G161" s="142"/>
      <c r="H161" s="142"/>
      <c r="I161" s="142"/>
      <c r="J161" s="142"/>
      <c r="K161" s="142"/>
      <c r="L161" s="142"/>
    </row>
    <row r="162" spans="1:12" s="145" customFormat="1" ht="15.75">
      <c r="A162" s="148"/>
      <c r="B162" s="20" t="s">
        <v>224</v>
      </c>
      <c r="C162" s="143">
        <f>(C36/$C$30*1000000)*(1+'Costo de Capital'!$F$8)</f>
        <v>67.96709344997566</v>
      </c>
      <c r="D162" s="175"/>
      <c r="E162" s="175"/>
      <c r="F162" s="175"/>
      <c r="G162" s="175"/>
      <c r="H162" s="175"/>
      <c r="I162" s="142"/>
      <c r="J162" s="142"/>
      <c r="K162" s="142"/>
      <c r="L162" s="142"/>
    </row>
    <row r="163" spans="1:12" s="145" customFormat="1" ht="15.75">
      <c r="A163" s="148"/>
      <c r="B163" s="20" t="s">
        <v>225</v>
      </c>
      <c r="C163" s="143">
        <f>(C37/$C$30*1000000)*(1+'Costo de Capital'!$F$8)</f>
        <v>91.73094355451774</v>
      </c>
      <c r="D163" s="153"/>
      <c r="E163" s="153"/>
      <c r="F163" s="176"/>
      <c r="G163" s="153"/>
      <c r="H163" s="142"/>
      <c r="I163" s="142"/>
      <c r="J163" s="142"/>
      <c r="K163" s="142"/>
      <c r="L163" s="142"/>
    </row>
    <row r="164" spans="1:12" s="145" customFormat="1" ht="15.75">
      <c r="A164" s="148"/>
      <c r="B164" s="20" t="s">
        <v>226</v>
      </c>
      <c r="C164" s="143">
        <f>(C38/$C$30*1000000)*(1+'Costo de Capital'!$F$8)</f>
        <v>158.17219042177663</v>
      </c>
      <c r="D164" s="153"/>
      <c r="E164" s="153"/>
      <c r="F164" s="153"/>
      <c r="G164" s="153"/>
      <c r="H164" s="142"/>
      <c r="I164" s="142"/>
      <c r="J164" s="142"/>
      <c r="K164" s="142"/>
      <c r="L164" s="142"/>
    </row>
    <row r="165" spans="1:12" s="145" customFormat="1" ht="15.75">
      <c r="A165" s="148"/>
      <c r="B165" s="20" t="s">
        <v>227</v>
      </c>
      <c r="C165" s="143">
        <f>(C39/$C$30*1000000)*(1+'Costo de Capital'!$F$8)</f>
        <v>3.728152423672758</v>
      </c>
      <c r="D165" s="177"/>
      <c r="E165" s="142"/>
      <c r="F165" s="142"/>
      <c r="G165" s="142"/>
      <c r="H165" s="142"/>
      <c r="I165" s="142"/>
      <c r="J165" s="142"/>
      <c r="K165" s="142"/>
      <c r="L165" s="142"/>
    </row>
    <row r="166" spans="1:12" s="145" customFormat="1" ht="15.75">
      <c r="A166" s="148"/>
      <c r="B166" s="20" t="s">
        <v>228</v>
      </c>
      <c r="C166" s="143">
        <f>(C40/$C$30*1000000)*(1+'Costo de Capital'!$F$8)</f>
        <v>0.34380760825137924</v>
      </c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1:12" s="145" customFormat="1" ht="15.75">
      <c r="A167" s="148"/>
      <c r="B167" s="20" t="s">
        <v>229</v>
      </c>
      <c r="C167" s="143">
        <f>(C41/$C$30*1000000)*(1+'Costo de Capital'!$F$8)</f>
        <v>0.9958327490457622</v>
      </c>
      <c r="D167" s="142"/>
      <c r="E167" s="142"/>
      <c r="F167" s="142"/>
      <c r="G167" s="142"/>
      <c r="H167" s="142"/>
      <c r="I167" s="142"/>
      <c r="J167" s="142"/>
      <c r="K167" s="142"/>
      <c r="L167" s="142"/>
    </row>
    <row r="168" spans="1:12" s="145" customFormat="1" ht="15.75">
      <c r="A168" s="148"/>
      <c r="B168" s="20" t="s">
        <v>247</v>
      </c>
      <c r="C168" s="143">
        <f>(C43/$C$30*1000000)*(1+'Costo de Capital'!$F$8)</f>
        <v>97.76255908384894</v>
      </c>
      <c r="D168" s="142"/>
      <c r="E168" s="142"/>
      <c r="F168" s="142"/>
      <c r="G168" s="142"/>
      <c r="H168" s="142"/>
      <c r="I168" s="142"/>
      <c r="J168" s="142"/>
      <c r="K168" s="142"/>
      <c r="L168" s="142"/>
    </row>
    <row r="169" spans="1:12" s="145" customFormat="1" ht="15.75">
      <c r="A169" s="148"/>
      <c r="B169" s="158" t="s">
        <v>220</v>
      </c>
      <c r="C169" s="154">
        <f>SUM(C160:C168)</f>
        <v>477.598045897887</v>
      </c>
      <c r="D169" s="142"/>
      <c r="E169" s="142"/>
      <c r="G169" s="153"/>
      <c r="H169" s="142"/>
      <c r="I169" s="142"/>
      <c r="J169" s="142"/>
      <c r="K169" s="142"/>
      <c r="L169" s="142"/>
    </row>
    <row r="170" spans="1:12" s="145" customFormat="1" ht="15.75">
      <c r="A170" s="148"/>
      <c r="B170" s="56" t="s">
        <v>219</v>
      </c>
      <c r="C170" s="143"/>
      <c r="D170" s="142"/>
      <c r="H170" s="142"/>
      <c r="I170" s="142"/>
      <c r="J170" s="142"/>
      <c r="K170" s="142"/>
      <c r="L170" s="142"/>
    </row>
    <row r="171" spans="1:12" s="145" customFormat="1" ht="15.75">
      <c r="A171" s="148"/>
      <c r="B171" s="20" t="s">
        <v>230</v>
      </c>
      <c r="C171" s="143">
        <f>(C42/$C$30*1000000)*(1+'Costo de Capital'!$F$8)</f>
        <v>28.149247925581665</v>
      </c>
      <c r="D171" s="142"/>
      <c r="E171" s="142"/>
      <c r="F171" s="142"/>
      <c r="G171" s="142"/>
      <c r="H171" s="142"/>
      <c r="I171" s="142"/>
      <c r="J171" s="142"/>
      <c r="K171" s="142"/>
      <c r="L171" s="142"/>
    </row>
    <row r="172" spans="1:12" s="145" customFormat="1" ht="15.75">
      <c r="A172" s="148"/>
      <c r="B172" s="20" t="s">
        <v>231</v>
      </c>
      <c r="C172" s="143">
        <f>(C47/$C$30*1000000)*(1+'Costo de Capital'!$F$8)</f>
        <v>13.203636183839063</v>
      </c>
      <c r="D172" s="142"/>
      <c r="E172" s="142"/>
      <c r="F172" s="142"/>
      <c r="G172" s="142"/>
      <c r="H172" s="142"/>
      <c r="I172" s="142"/>
      <c r="J172" s="142"/>
      <c r="K172" s="142"/>
      <c r="L172" s="142"/>
    </row>
    <row r="173" spans="1:12" s="145" customFormat="1" ht="15.75">
      <c r="A173" s="148"/>
      <c r="B173" s="158" t="s">
        <v>221</v>
      </c>
      <c r="C173" s="154">
        <f>SUM(C171:C172)</f>
        <v>41.35288410942073</v>
      </c>
      <c r="D173" s="142"/>
      <c r="H173" s="142"/>
      <c r="I173" s="142"/>
      <c r="J173" s="142"/>
      <c r="K173" s="142"/>
      <c r="L173" s="142"/>
    </row>
    <row r="174" spans="1:12" s="145" customFormat="1" ht="15.75">
      <c r="A174" s="148"/>
      <c r="B174" s="56" t="s">
        <v>240</v>
      </c>
      <c r="C174" s="154">
        <f>($C$32/($C$11+$C$32)*$C$52)/$C$30*1000000</f>
        <v>13.112071626938638</v>
      </c>
      <c r="D174" s="142"/>
      <c r="E174" s="171"/>
      <c r="F174" s="171"/>
      <c r="G174" s="171"/>
      <c r="H174" s="142"/>
      <c r="I174" s="142"/>
      <c r="J174" s="142"/>
      <c r="K174" s="142"/>
      <c r="L174" s="142"/>
    </row>
    <row r="175" spans="1:12" s="145" customFormat="1" ht="15.75">
      <c r="A175" s="148"/>
      <c r="B175" s="157" t="s">
        <v>217</v>
      </c>
      <c r="C175" s="154">
        <f>+C169+C173+C174</f>
        <v>532.0630016342463</v>
      </c>
      <c r="D175" s="153"/>
      <c r="E175" s="171"/>
      <c r="F175" s="171"/>
      <c r="G175" s="171"/>
      <c r="H175" s="142"/>
      <c r="I175" s="142"/>
      <c r="J175" s="142"/>
      <c r="K175" s="142"/>
      <c r="L175" s="142"/>
    </row>
    <row r="176" spans="1:12" s="145" customFormat="1" ht="4.5" customHeight="1">
      <c r="A176" s="148"/>
      <c r="B176" s="147"/>
      <c r="C176" s="153"/>
      <c r="D176" s="142"/>
      <c r="E176" s="142"/>
      <c r="F176" s="142"/>
      <c r="G176" s="142"/>
      <c r="H176" s="142"/>
      <c r="I176" s="142"/>
      <c r="J176" s="142"/>
      <c r="K176" s="142"/>
      <c r="L176" s="142"/>
    </row>
    <row r="177" spans="1:12" s="145" customFormat="1" ht="4.5" customHeight="1">
      <c r="A177" s="148"/>
      <c r="B177" s="147"/>
      <c r="C177" s="153"/>
      <c r="D177" s="142"/>
      <c r="E177" s="142"/>
      <c r="F177" s="142"/>
      <c r="G177" s="142"/>
      <c r="H177" s="142"/>
      <c r="I177" s="142"/>
      <c r="J177" s="142"/>
      <c r="K177" s="142"/>
      <c r="L177" s="142"/>
    </row>
    <row r="178" spans="1:12" s="184" customFormat="1" ht="15.75">
      <c r="A178" s="182"/>
      <c r="B178" s="156"/>
      <c r="C178" s="183"/>
      <c r="E178" s="185"/>
      <c r="F178" s="185"/>
      <c r="G178" s="185"/>
      <c r="H178" s="185"/>
      <c r="I178" s="185"/>
      <c r="J178" s="185"/>
      <c r="K178" s="185"/>
      <c r="L178" s="185"/>
    </row>
    <row r="179" spans="1:12" s="184" customFormat="1" ht="15.75">
      <c r="A179" s="182"/>
      <c r="B179" s="186"/>
      <c r="C179" s="187"/>
      <c r="H179" s="185"/>
      <c r="I179" s="185"/>
      <c r="J179" s="185"/>
      <c r="K179" s="185"/>
      <c r="L179" s="185"/>
    </row>
    <row r="180" spans="1:12" s="184" customFormat="1" ht="15.75">
      <c r="A180" s="182"/>
      <c r="B180" s="188"/>
      <c r="C180" s="187"/>
      <c r="D180" s="189"/>
      <c r="H180" s="185"/>
      <c r="I180" s="185"/>
      <c r="J180" s="185"/>
      <c r="K180" s="185"/>
      <c r="L180" s="185"/>
    </row>
    <row r="181" spans="1:12" s="184" customFormat="1" ht="15.75">
      <c r="A181" s="182"/>
      <c r="B181" s="188"/>
      <c r="C181" s="187"/>
      <c r="E181" s="185"/>
      <c r="F181" s="185"/>
      <c r="G181" s="185"/>
      <c r="H181" s="185"/>
      <c r="I181" s="185"/>
      <c r="J181" s="185"/>
      <c r="K181" s="185"/>
      <c r="L181" s="185"/>
    </row>
    <row r="182" spans="1:12" s="184" customFormat="1" ht="15.75">
      <c r="A182" s="182"/>
      <c r="B182" s="188"/>
      <c r="C182" s="187"/>
      <c r="D182" s="190"/>
      <c r="E182" s="190"/>
      <c r="F182" s="190"/>
      <c r="G182" s="190"/>
      <c r="H182" s="190"/>
      <c r="I182" s="185"/>
      <c r="J182" s="185"/>
      <c r="K182" s="185"/>
      <c r="L182" s="185"/>
    </row>
    <row r="183" spans="1:12" s="184" customFormat="1" ht="15.75">
      <c r="A183" s="182"/>
      <c r="B183" s="188"/>
      <c r="C183" s="187"/>
      <c r="D183" s="191"/>
      <c r="E183" s="191"/>
      <c r="F183" s="192"/>
      <c r="G183" s="191"/>
      <c r="H183" s="185"/>
      <c r="I183" s="185"/>
      <c r="J183" s="185"/>
      <c r="K183" s="185"/>
      <c r="L183" s="185"/>
    </row>
    <row r="184" spans="1:12" s="184" customFormat="1" ht="15.75">
      <c r="A184" s="182"/>
      <c r="B184" s="188"/>
      <c r="C184" s="187"/>
      <c r="D184" s="191"/>
      <c r="E184" s="191"/>
      <c r="F184" s="191"/>
      <c r="G184" s="191"/>
      <c r="H184" s="185"/>
      <c r="I184" s="185"/>
      <c r="J184" s="185"/>
      <c r="K184" s="185"/>
      <c r="L184" s="185"/>
    </row>
    <row r="185" spans="1:12" s="184" customFormat="1" ht="15.75">
      <c r="A185" s="182"/>
      <c r="B185" s="188"/>
      <c r="C185" s="187"/>
      <c r="D185" s="193"/>
      <c r="E185" s="185"/>
      <c r="F185" s="185"/>
      <c r="G185" s="185"/>
      <c r="H185" s="185"/>
      <c r="I185" s="185"/>
      <c r="J185" s="185"/>
      <c r="K185" s="185"/>
      <c r="L185" s="185"/>
    </row>
    <row r="186" spans="1:12" s="184" customFormat="1" ht="15.75">
      <c r="A186" s="182"/>
      <c r="B186" s="188"/>
      <c r="C186" s="187"/>
      <c r="D186" s="185"/>
      <c r="E186" s="185"/>
      <c r="F186" s="185"/>
      <c r="G186" s="185"/>
      <c r="H186" s="185"/>
      <c r="I186" s="185"/>
      <c r="J186" s="185"/>
      <c r="K186" s="185"/>
      <c r="L186" s="185"/>
    </row>
    <row r="187" spans="1:12" s="184" customFormat="1" ht="15.75">
      <c r="A187" s="182"/>
      <c r="B187" s="188"/>
      <c r="C187" s="187"/>
      <c r="D187" s="185"/>
      <c r="E187" s="185"/>
      <c r="F187" s="185"/>
      <c r="G187" s="185"/>
      <c r="H187" s="185"/>
      <c r="I187" s="185"/>
      <c r="J187" s="185"/>
      <c r="K187" s="185"/>
      <c r="L187" s="185"/>
    </row>
    <row r="188" spans="1:12" s="184" customFormat="1" ht="15.75">
      <c r="A188" s="182"/>
      <c r="B188" s="188"/>
      <c r="C188" s="187"/>
      <c r="D188" s="185"/>
      <c r="E188" s="185"/>
      <c r="F188" s="185"/>
      <c r="G188" s="185"/>
      <c r="H188" s="185"/>
      <c r="I188" s="185"/>
      <c r="J188" s="185"/>
      <c r="K188" s="185"/>
      <c r="L188" s="185"/>
    </row>
    <row r="189" spans="1:12" s="184" customFormat="1" ht="15.75">
      <c r="A189" s="182"/>
      <c r="B189" s="194"/>
      <c r="C189" s="195"/>
      <c r="D189" s="185"/>
      <c r="E189" s="185"/>
      <c r="G189" s="191"/>
      <c r="H189" s="185"/>
      <c r="I189" s="185"/>
      <c r="J189" s="185"/>
      <c r="K189" s="185"/>
      <c r="L189" s="185"/>
    </row>
    <row r="190" spans="1:12" s="184" customFormat="1" ht="15.75">
      <c r="A190" s="182"/>
      <c r="B190" s="186"/>
      <c r="C190" s="187"/>
      <c r="D190" s="185"/>
      <c r="H190" s="185"/>
      <c r="I190" s="185"/>
      <c r="J190" s="185"/>
      <c r="K190" s="185"/>
      <c r="L190" s="185"/>
    </row>
    <row r="191" spans="1:12" s="184" customFormat="1" ht="15.75">
      <c r="A191" s="182"/>
      <c r="B191" s="188"/>
      <c r="C191" s="187"/>
      <c r="D191" s="185"/>
      <c r="E191" s="185"/>
      <c r="F191" s="185"/>
      <c r="G191" s="185"/>
      <c r="H191" s="185"/>
      <c r="I191" s="185"/>
      <c r="J191" s="185"/>
      <c r="K191" s="185"/>
      <c r="L191" s="185"/>
    </row>
    <row r="192" spans="1:12" s="184" customFormat="1" ht="15.75">
      <c r="A192" s="182"/>
      <c r="B192" s="188"/>
      <c r="C192" s="187"/>
      <c r="D192" s="185"/>
      <c r="E192" s="185"/>
      <c r="F192" s="185"/>
      <c r="G192" s="185"/>
      <c r="H192" s="185"/>
      <c r="I192" s="185"/>
      <c r="J192" s="185"/>
      <c r="K192" s="185"/>
      <c r="L192" s="185"/>
    </row>
    <row r="193" spans="1:12" s="184" customFormat="1" ht="15.75">
      <c r="A193" s="182"/>
      <c r="B193" s="194"/>
      <c r="C193" s="195"/>
      <c r="D193" s="185"/>
      <c r="H193" s="185"/>
      <c r="I193" s="185"/>
      <c r="J193" s="185"/>
      <c r="K193" s="185"/>
      <c r="L193" s="185"/>
    </row>
    <row r="194" spans="1:12" s="184" customFormat="1" ht="15.75">
      <c r="A194" s="182"/>
      <c r="B194" s="186"/>
      <c r="C194" s="195"/>
      <c r="D194" s="185"/>
      <c r="E194" s="189"/>
      <c r="F194" s="189"/>
      <c r="G194" s="189"/>
      <c r="H194" s="185"/>
      <c r="I194" s="185"/>
      <c r="J194" s="185"/>
      <c r="K194" s="185"/>
      <c r="L194" s="185"/>
    </row>
    <row r="195" spans="1:12" s="184" customFormat="1" ht="15.75">
      <c r="A195" s="182"/>
      <c r="B195" s="196"/>
      <c r="C195" s="195"/>
      <c r="D195" s="191"/>
      <c r="E195" s="189"/>
      <c r="F195" s="189"/>
      <c r="G195" s="189"/>
      <c r="H195" s="185"/>
      <c r="I195" s="185"/>
      <c r="J195" s="185"/>
      <c r="K195" s="185"/>
      <c r="L195" s="185"/>
    </row>
    <row r="196" spans="1:12" s="184" customFormat="1" ht="4.5" customHeight="1">
      <c r="A196" s="182"/>
      <c r="B196" s="197"/>
      <c r="C196" s="191"/>
      <c r="D196" s="185"/>
      <c r="E196" s="185"/>
      <c r="F196" s="185"/>
      <c r="G196" s="185"/>
      <c r="H196" s="185"/>
      <c r="I196" s="185"/>
      <c r="J196" s="185"/>
      <c r="K196" s="185"/>
      <c r="L196" s="185"/>
    </row>
    <row r="197" spans="1:12" s="184" customFormat="1" ht="4.5" customHeight="1">
      <c r="A197" s="182"/>
      <c r="B197" s="197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</row>
    <row r="198" spans="1:12" s="184" customFormat="1" ht="15.75">
      <c r="A198" s="182"/>
      <c r="B198" s="156"/>
      <c r="C198" s="183"/>
      <c r="E198" s="185"/>
      <c r="F198" s="185"/>
      <c r="G198" s="185"/>
      <c r="H198" s="185"/>
      <c r="I198" s="185"/>
      <c r="J198" s="185"/>
      <c r="K198" s="185"/>
      <c r="L198" s="185"/>
    </row>
    <row r="199" spans="1:12" s="184" customFormat="1" ht="15.75">
      <c r="A199" s="182"/>
      <c r="B199" s="186"/>
      <c r="C199" s="187"/>
      <c r="H199" s="185"/>
      <c r="I199" s="185"/>
      <c r="J199" s="185"/>
      <c r="K199" s="185"/>
      <c r="L199" s="185"/>
    </row>
    <row r="200" spans="1:12" s="184" customFormat="1" ht="15.75">
      <c r="A200" s="182"/>
      <c r="B200" s="188"/>
      <c r="C200" s="187"/>
      <c r="D200" s="189"/>
      <c r="H200" s="185"/>
      <c r="I200" s="185"/>
      <c r="J200" s="185"/>
      <c r="K200" s="185"/>
      <c r="L200" s="185"/>
    </row>
    <row r="201" spans="1:12" s="184" customFormat="1" ht="15.75">
      <c r="A201" s="182"/>
      <c r="B201" s="188"/>
      <c r="C201" s="187"/>
      <c r="E201" s="185"/>
      <c r="F201" s="185"/>
      <c r="G201" s="185"/>
      <c r="H201" s="185"/>
      <c r="I201" s="185"/>
      <c r="J201" s="185"/>
      <c r="K201" s="185"/>
      <c r="L201" s="185"/>
    </row>
    <row r="202" spans="1:12" s="184" customFormat="1" ht="15.75">
      <c r="A202" s="182"/>
      <c r="B202" s="188"/>
      <c r="C202" s="187"/>
      <c r="D202" s="190"/>
      <c r="E202" s="190"/>
      <c r="F202" s="190"/>
      <c r="G202" s="190"/>
      <c r="H202" s="190"/>
      <c r="I202" s="185"/>
      <c r="J202" s="185"/>
      <c r="K202" s="185"/>
      <c r="L202" s="185"/>
    </row>
    <row r="203" spans="1:12" s="184" customFormat="1" ht="15.75">
      <c r="A203" s="182"/>
      <c r="B203" s="188"/>
      <c r="C203" s="187"/>
      <c r="D203" s="191"/>
      <c r="E203" s="191"/>
      <c r="F203" s="192"/>
      <c r="G203" s="191"/>
      <c r="H203" s="185"/>
      <c r="I203" s="185"/>
      <c r="J203" s="185"/>
      <c r="K203" s="185"/>
      <c r="L203" s="185"/>
    </row>
    <row r="204" spans="1:12" s="184" customFormat="1" ht="15.75">
      <c r="A204" s="182"/>
      <c r="B204" s="188"/>
      <c r="C204" s="187"/>
      <c r="D204" s="191"/>
      <c r="E204" s="191"/>
      <c r="F204" s="191"/>
      <c r="G204" s="191"/>
      <c r="H204" s="185"/>
      <c r="I204" s="185"/>
      <c r="J204" s="185"/>
      <c r="K204" s="185"/>
      <c r="L204" s="185"/>
    </row>
    <row r="205" spans="1:12" s="184" customFormat="1" ht="15.75">
      <c r="A205" s="182"/>
      <c r="B205" s="188"/>
      <c r="C205" s="187"/>
      <c r="D205" s="193"/>
      <c r="E205" s="185"/>
      <c r="F205" s="185"/>
      <c r="G205" s="185"/>
      <c r="H205" s="185"/>
      <c r="I205" s="185"/>
      <c r="J205" s="185"/>
      <c r="K205" s="185"/>
      <c r="L205" s="185"/>
    </row>
    <row r="206" spans="1:12" s="184" customFormat="1" ht="15.75">
      <c r="A206" s="182"/>
      <c r="B206" s="188"/>
      <c r="C206" s="187"/>
      <c r="D206" s="185"/>
      <c r="E206" s="185"/>
      <c r="F206" s="185"/>
      <c r="G206" s="185"/>
      <c r="H206" s="185"/>
      <c r="I206" s="185"/>
      <c r="J206" s="185"/>
      <c r="K206" s="185"/>
      <c r="L206" s="185"/>
    </row>
    <row r="207" spans="1:12" s="184" customFormat="1" ht="15.75">
      <c r="A207" s="182"/>
      <c r="B207" s="188"/>
      <c r="C207" s="187"/>
      <c r="D207" s="185"/>
      <c r="E207" s="185"/>
      <c r="F207" s="185"/>
      <c r="G207" s="185"/>
      <c r="H207" s="185"/>
      <c r="I207" s="185"/>
      <c r="J207" s="185"/>
      <c r="K207" s="185"/>
      <c r="L207" s="185"/>
    </row>
    <row r="208" spans="1:12" s="184" customFormat="1" ht="15.75">
      <c r="A208" s="182"/>
      <c r="B208" s="188"/>
      <c r="C208" s="187"/>
      <c r="D208" s="185"/>
      <c r="E208" s="185"/>
      <c r="F208" s="185"/>
      <c r="G208" s="185"/>
      <c r="H208" s="185"/>
      <c r="I208" s="185"/>
      <c r="J208" s="185"/>
      <c r="K208" s="185"/>
      <c r="L208" s="185"/>
    </row>
    <row r="209" spans="1:12" s="184" customFormat="1" ht="15.75">
      <c r="A209" s="182"/>
      <c r="B209" s="194"/>
      <c r="C209" s="195"/>
      <c r="D209" s="185"/>
      <c r="E209" s="185"/>
      <c r="G209" s="191"/>
      <c r="H209" s="185"/>
      <c r="I209" s="185"/>
      <c r="J209" s="185"/>
      <c r="K209" s="185"/>
      <c r="L209" s="185"/>
    </row>
    <row r="210" spans="1:12" s="184" customFormat="1" ht="15.75">
      <c r="A210" s="182"/>
      <c r="B210" s="186"/>
      <c r="C210" s="187"/>
      <c r="D210" s="185"/>
      <c r="H210" s="185"/>
      <c r="I210" s="185"/>
      <c r="J210" s="185"/>
      <c r="K210" s="185"/>
      <c r="L210" s="185"/>
    </row>
    <row r="211" spans="1:12" s="184" customFormat="1" ht="15.75">
      <c r="A211" s="182"/>
      <c r="B211" s="188"/>
      <c r="C211" s="187"/>
      <c r="D211" s="185"/>
      <c r="E211" s="185"/>
      <c r="F211" s="185"/>
      <c r="G211" s="185"/>
      <c r="H211" s="185"/>
      <c r="I211" s="185"/>
      <c r="J211" s="185"/>
      <c r="K211" s="185"/>
      <c r="L211" s="185"/>
    </row>
    <row r="212" spans="1:12" s="184" customFormat="1" ht="15.75">
      <c r="A212" s="182"/>
      <c r="B212" s="188"/>
      <c r="C212" s="187"/>
      <c r="D212" s="185"/>
      <c r="E212" s="185"/>
      <c r="F212" s="185"/>
      <c r="G212" s="185"/>
      <c r="H212" s="185"/>
      <c r="I212" s="185"/>
      <c r="J212" s="185"/>
      <c r="K212" s="185"/>
      <c r="L212" s="185"/>
    </row>
    <row r="213" spans="1:12" s="184" customFormat="1" ht="15.75">
      <c r="A213" s="182"/>
      <c r="B213" s="194"/>
      <c r="C213" s="195"/>
      <c r="D213" s="185"/>
      <c r="H213" s="185"/>
      <c r="I213" s="185"/>
      <c r="J213" s="185"/>
      <c r="K213" s="185"/>
      <c r="L213" s="185"/>
    </row>
    <row r="214" spans="1:12" s="184" customFormat="1" ht="15.75">
      <c r="A214" s="182"/>
      <c r="B214" s="186"/>
      <c r="C214" s="195"/>
      <c r="D214" s="185"/>
      <c r="E214" s="189"/>
      <c r="F214" s="189"/>
      <c r="G214" s="189"/>
      <c r="H214" s="185"/>
      <c r="I214" s="185"/>
      <c r="J214" s="185"/>
      <c r="K214" s="185"/>
      <c r="L214" s="185"/>
    </row>
    <row r="215" spans="1:12" s="184" customFormat="1" ht="15.75">
      <c r="A215" s="182"/>
      <c r="B215" s="196"/>
      <c r="C215" s="195"/>
      <c r="D215" s="191"/>
      <c r="E215" s="189"/>
      <c r="F215" s="189"/>
      <c r="G215" s="189"/>
      <c r="H215" s="185"/>
      <c r="I215" s="185"/>
      <c r="J215" s="185"/>
      <c r="K215" s="185"/>
      <c r="L215" s="185"/>
    </row>
    <row r="216" spans="1:12" s="184" customFormat="1" ht="4.5" customHeight="1">
      <c r="A216" s="182"/>
      <c r="B216" s="197"/>
      <c r="C216" s="191"/>
      <c r="D216" s="185"/>
      <c r="E216" s="185"/>
      <c r="F216" s="185"/>
      <c r="G216" s="185"/>
      <c r="H216" s="185"/>
      <c r="I216" s="185"/>
      <c r="J216" s="185"/>
      <c r="K216" s="185"/>
      <c r="L216" s="185"/>
    </row>
    <row r="217" spans="1:12" s="184" customFormat="1" ht="4.5" customHeight="1">
      <c r="A217" s="182"/>
      <c r="B217" s="197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</row>
    <row r="218" spans="1:12" s="184" customFormat="1" ht="15.75">
      <c r="A218" s="182"/>
      <c r="B218" s="156"/>
      <c r="C218" s="183"/>
      <c r="D218" s="185"/>
      <c r="E218" s="185"/>
      <c r="G218" s="185"/>
      <c r="H218" s="185"/>
      <c r="I218" s="185"/>
      <c r="J218" s="185"/>
      <c r="K218" s="185"/>
      <c r="L218" s="185"/>
    </row>
    <row r="219" spans="1:12" s="184" customFormat="1" ht="15.75">
      <c r="A219" s="182"/>
      <c r="B219" s="186"/>
      <c r="C219" s="187"/>
      <c r="H219" s="185"/>
      <c r="I219" s="185"/>
      <c r="J219" s="185"/>
      <c r="K219" s="185"/>
      <c r="L219" s="185"/>
    </row>
    <row r="220" spans="1:12" s="184" customFormat="1" ht="15.75">
      <c r="A220" s="182"/>
      <c r="B220" s="188"/>
      <c r="C220" s="187"/>
      <c r="D220" s="189"/>
      <c r="E220" s="189"/>
      <c r="H220" s="185"/>
      <c r="I220" s="185"/>
      <c r="J220" s="185"/>
      <c r="K220" s="185"/>
      <c r="L220" s="185"/>
    </row>
    <row r="221" spans="1:12" s="184" customFormat="1" ht="15.75">
      <c r="A221" s="182"/>
      <c r="B221" s="188"/>
      <c r="C221" s="187"/>
      <c r="D221" s="189"/>
      <c r="E221" s="189"/>
      <c r="G221" s="185"/>
      <c r="H221" s="185"/>
      <c r="I221" s="185"/>
      <c r="J221" s="185"/>
      <c r="K221" s="185"/>
      <c r="L221" s="185"/>
    </row>
    <row r="222" spans="1:12" s="184" customFormat="1" ht="15.75">
      <c r="A222" s="182"/>
      <c r="B222" s="188"/>
      <c r="C222" s="187"/>
      <c r="D222" s="189"/>
      <c r="E222" s="189"/>
      <c r="G222" s="190"/>
      <c r="H222" s="190"/>
      <c r="I222" s="185"/>
      <c r="J222" s="185"/>
      <c r="K222" s="185"/>
      <c r="L222" s="185"/>
    </row>
    <row r="223" spans="1:12" s="184" customFormat="1" ht="15.75">
      <c r="A223" s="182"/>
      <c r="B223" s="188"/>
      <c r="C223" s="187"/>
      <c r="D223" s="189"/>
      <c r="E223" s="189"/>
      <c r="G223" s="191"/>
      <c r="H223" s="185"/>
      <c r="I223" s="185"/>
      <c r="J223" s="185"/>
      <c r="K223" s="185"/>
      <c r="L223" s="185"/>
    </row>
    <row r="224" spans="1:12" s="184" customFormat="1" ht="15.75">
      <c r="A224" s="182"/>
      <c r="B224" s="188"/>
      <c r="C224" s="187"/>
      <c r="D224" s="189"/>
      <c r="E224" s="189"/>
      <c r="G224" s="191"/>
      <c r="H224" s="185"/>
      <c r="I224" s="185"/>
      <c r="J224" s="185"/>
      <c r="K224" s="185"/>
      <c r="L224" s="185"/>
    </row>
    <row r="225" spans="1:12" s="184" customFormat="1" ht="15.75">
      <c r="A225" s="182"/>
      <c r="B225" s="188"/>
      <c r="C225" s="187"/>
      <c r="D225" s="189"/>
      <c r="E225" s="189"/>
      <c r="G225" s="185"/>
      <c r="H225" s="185"/>
      <c r="I225" s="185"/>
      <c r="J225" s="185"/>
      <c r="K225" s="185"/>
      <c r="L225" s="185"/>
    </row>
    <row r="226" spans="1:12" s="184" customFormat="1" ht="15.75">
      <c r="A226" s="182"/>
      <c r="B226" s="188"/>
      <c r="C226" s="187"/>
      <c r="D226" s="189"/>
      <c r="E226" s="189"/>
      <c r="G226" s="185"/>
      <c r="H226" s="185"/>
      <c r="I226" s="185"/>
      <c r="J226" s="185"/>
      <c r="K226" s="185"/>
      <c r="L226" s="185"/>
    </row>
    <row r="227" spans="1:12" s="184" customFormat="1" ht="15.75">
      <c r="A227" s="182"/>
      <c r="B227" s="188"/>
      <c r="C227" s="187"/>
      <c r="D227" s="189"/>
      <c r="E227" s="189"/>
      <c r="G227" s="185"/>
      <c r="H227" s="185"/>
      <c r="I227" s="185"/>
      <c r="J227" s="185"/>
      <c r="K227" s="185"/>
      <c r="L227" s="185"/>
    </row>
    <row r="228" spans="1:12" s="184" customFormat="1" ht="15.75">
      <c r="A228" s="182"/>
      <c r="B228" s="188"/>
      <c r="C228" s="187"/>
      <c r="D228" s="189"/>
      <c r="E228" s="189"/>
      <c r="G228" s="185"/>
      <c r="H228" s="185"/>
      <c r="I228" s="185"/>
      <c r="J228" s="185"/>
      <c r="K228" s="185"/>
      <c r="L228" s="185"/>
    </row>
    <row r="229" spans="1:12" s="184" customFormat="1" ht="15.75">
      <c r="A229" s="182"/>
      <c r="B229" s="194"/>
      <c r="C229" s="195"/>
      <c r="D229" s="189"/>
      <c r="E229" s="189"/>
      <c r="G229" s="191"/>
      <c r="H229" s="185"/>
      <c r="I229" s="185"/>
      <c r="J229" s="185"/>
      <c r="K229" s="185"/>
      <c r="L229" s="185"/>
    </row>
    <row r="230" spans="1:12" s="184" customFormat="1" ht="15.75">
      <c r="A230" s="182"/>
      <c r="B230" s="186"/>
      <c r="C230" s="187"/>
      <c r="D230" s="189"/>
      <c r="E230" s="189"/>
      <c r="H230" s="185"/>
      <c r="I230" s="185"/>
      <c r="J230" s="185"/>
      <c r="K230" s="185"/>
      <c r="L230" s="185"/>
    </row>
    <row r="231" spans="1:12" s="184" customFormat="1" ht="15.75">
      <c r="A231" s="182"/>
      <c r="B231" s="188"/>
      <c r="C231" s="187"/>
      <c r="D231" s="189"/>
      <c r="E231" s="189"/>
      <c r="G231" s="185"/>
      <c r="H231" s="185"/>
      <c r="I231" s="185"/>
      <c r="J231" s="185"/>
      <c r="K231" s="185"/>
      <c r="L231" s="185"/>
    </row>
    <row r="232" spans="1:12" s="184" customFormat="1" ht="15.75">
      <c r="A232" s="182"/>
      <c r="B232" s="188"/>
      <c r="C232" s="187"/>
      <c r="D232" s="189"/>
      <c r="E232" s="189"/>
      <c r="G232" s="185"/>
      <c r="H232" s="185"/>
      <c r="I232" s="185"/>
      <c r="J232" s="185"/>
      <c r="K232" s="185"/>
      <c r="L232" s="185"/>
    </row>
    <row r="233" spans="1:12" s="184" customFormat="1" ht="15.75">
      <c r="A233" s="182"/>
      <c r="B233" s="194"/>
      <c r="C233" s="195"/>
      <c r="D233" s="189"/>
      <c r="E233" s="189"/>
      <c r="H233" s="185"/>
      <c r="I233" s="185"/>
      <c r="J233" s="185"/>
      <c r="K233" s="185"/>
      <c r="L233" s="185"/>
    </row>
    <row r="234" spans="1:12" s="184" customFormat="1" ht="15.75">
      <c r="A234" s="182"/>
      <c r="B234" s="186"/>
      <c r="C234" s="195"/>
      <c r="D234" s="189"/>
      <c r="E234" s="189"/>
      <c r="G234" s="189"/>
      <c r="H234" s="185"/>
      <c r="I234" s="185"/>
      <c r="J234" s="185"/>
      <c r="K234" s="185"/>
      <c r="L234" s="185"/>
    </row>
    <row r="235" spans="1:12" s="184" customFormat="1" ht="15.75">
      <c r="A235" s="182"/>
      <c r="B235" s="196"/>
      <c r="C235" s="195"/>
      <c r="D235" s="189"/>
      <c r="E235" s="189"/>
      <c r="G235" s="189"/>
      <c r="H235" s="185"/>
      <c r="I235" s="185"/>
      <c r="J235" s="185"/>
      <c r="K235" s="185"/>
      <c r="L235" s="185"/>
    </row>
    <row r="236" spans="1:12" s="145" customFormat="1" ht="4.5" customHeight="1">
      <c r="A236" s="148"/>
      <c r="B236" s="147"/>
      <c r="C236" s="153"/>
      <c r="D236" s="142"/>
      <c r="E236" s="142"/>
      <c r="F236" s="142"/>
      <c r="G236" s="142"/>
      <c r="H236" s="142"/>
      <c r="I236" s="142"/>
      <c r="J236" s="142"/>
      <c r="K236" s="142"/>
      <c r="L236" s="1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41" customWidth="1"/>
    <col min="2" max="2" width="56.8515625" style="141" customWidth="1"/>
    <col min="3" max="3" width="15.28125" style="141" bestFit="1" customWidth="1"/>
    <col min="4" max="4" width="13.7109375" style="141" bestFit="1" customWidth="1"/>
    <col min="5" max="5" width="14.140625" style="141" bestFit="1" customWidth="1"/>
    <col min="6" max="6" width="15.28125" style="141" bestFit="1" customWidth="1"/>
    <col min="7" max="7" width="14.140625" style="141" bestFit="1" customWidth="1"/>
    <col min="8" max="12" width="12.421875" style="141" bestFit="1" customWidth="1"/>
    <col min="13" max="16384" width="11.421875" style="141" customWidth="1"/>
  </cols>
  <sheetData>
    <row r="1" spans="1:2" s="145" customFormat="1" ht="4.5" customHeight="1">
      <c r="A1" s="148"/>
      <c r="B1" s="148"/>
    </row>
    <row r="2" spans="1:12" s="145" customFormat="1" ht="15.75">
      <c r="A2" s="148"/>
      <c r="B2" s="150" t="s">
        <v>202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45" customFormat="1" ht="15.75">
      <c r="A3" s="148"/>
      <c r="B3" s="149" t="s">
        <v>203</v>
      </c>
      <c r="C3" s="146"/>
      <c r="D3" s="151"/>
      <c r="E3" s="151"/>
      <c r="F3" s="151"/>
      <c r="G3" s="152"/>
      <c r="H3" s="151"/>
      <c r="I3" s="151"/>
      <c r="J3" s="151"/>
      <c r="K3" s="151"/>
      <c r="L3" s="151"/>
    </row>
    <row r="4" spans="1:12" s="145" customFormat="1" ht="4.5" customHeight="1">
      <c r="A4" s="148"/>
      <c r="B4" s="147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145" customFormat="1" ht="15.75">
      <c r="A5" s="148"/>
      <c r="B5" s="150" t="s">
        <v>201</v>
      </c>
      <c r="C5" s="151"/>
      <c r="D5" s="146"/>
      <c r="E5" s="146"/>
      <c r="F5" s="146"/>
      <c r="G5" s="146"/>
      <c r="H5" s="146"/>
      <c r="I5" s="146"/>
      <c r="J5" s="146"/>
      <c r="K5" s="146"/>
      <c r="L5" s="146"/>
    </row>
    <row r="6" spans="1:12" s="145" customFormat="1" ht="15.75">
      <c r="A6" s="148"/>
      <c r="B6" s="149" t="str">
        <f>IF('[1]Tablero de Control'!$B$7='[1]Tablero de Control'!$S$7,'[1]Tablero de Control'!$S$7,IF('[1]Tablero de Control'!$B$7='[1]Tablero de Control'!$S$8,'[1]Tablero de Control'!$S$8,IF('[1]Tablero de Control'!$B$7='[1]Tablero de Control'!$S$9,'[1]Tablero de Control'!$S$9,0)))</f>
        <v>Masivo Puro</v>
      </c>
      <c r="C6" s="151"/>
      <c r="D6" s="146"/>
      <c r="E6" s="146"/>
      <c r="F6" s="146"/>
      <c r="G6" s="146"/>
      <c r="H6" s="146"/>
      <c r="I6" s="146"/>
      <c r="J6" s="146"/>
      <c r="K6" s="146"/>
      <c r="L6" s="146"/>
    </row>
    <row r="7" spans="1:12" s="145" customFormat="1" ht="4.5" customHeight="1">
      <c r="A7" s="148"/>
      <c r="B7" s="147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s="145" customFormat="1" ht="15.75">
      <c r="A8" s="148"/>
      <c r="B8" s="53" t="s">
        <v>204</v>
      </c>
      <c r="C8" s="54">
        <f>+'[1]Financieros'!D7</f>
        <v>2010</v>
      </c>
      <c r="D8" s="54">
        <f>+'[1]Financieros'!E7</f>
        <v>2011</v>
      </c>
      <c r="E8" s="54">
        <f>+'[1]Financieros'!F7</f>
        <v>2012</v>
      </c>
      <c r="F8" s="54">
        <f>+'[1]Financieros'!G7</f>
        <v>2013</v>
      </c>
      <c r="G8" s="54">
        <f>+'[1]Financieros'!H7</f>
        <v>2014</v>
      </c>
      <c r="H8" s="54">
        <f>+'[1]Financieros'!I7</f>
        <v>2015</v>
      </c>
      <c r="I8" s="54">
        <f>+'[1]Financieros'!J7</f>
        <v>2016</v>
      </c>
      <c r="J8" s="54">
        <f>+'[1]Financieros'!K7</f>
        <v>2017</v>
      </c>
      <c r="K8" s="54">
        <f>+'[1]Financieros'!L7</f>
        <v>2018</v>
      </c>
      <c r="L8" s="54">
        <f>+'[1]Financieros'!M7</f>
        <v>2019</v>
      </c>
    </row>
    <row r="9" spans="2:12" ht="15.75">
      <c r="B9" s="144" t="s">
        <v>205</v>
      </c>
      <c r="C9" s="143">
        <f>+'[2]Demanda'!D18*1000000</f>
        <v>115675751.40105069</v>
      </c>
      <c r="D9" s="143">
        <f>+'[2]Demanda'!E18*1000000</f>
        <v>122616296.51840523</v>
      </c>
      <c r="E9" s="143">
        <f>+'[2]Demanda'!F18*1000000</f>
        <v>129973274.34479856</v>
      </c>
      <c r="F9" s="143">
        <f>+'[2]Demanda'!G18*1000000</f>
        <v>137771670.8428928</v>
      </c>
      <c r="G9" s="143">
        <f>+'[2]Demanda'!H18*1000000</f>
        <v>146037971.1331171</v>
      </c>
      <c r="H9" s="143">
        <f>+'[2]Demanda'!I18*1000000</f>
        <v>154800249.37393433</v>
      </c>
      <c r="I9" s="143">
        <f>+'[2]Demanda'!J18*1000000</f>
        <v>164088264.3075704</v>
      </c>
      <c r="J9" s="143">
        <f>+'[2]Demanda'!K18*1000000</f>
        <v>173933560.13549662</v>
      </c>
      <c r="K9" s="143">
        <f>+'[2]Demanda'!L18*1000000</f>
        <v>184369573.7112667</v>
      </c>
      <c r="L9" s="143">
        <f>+'[2]Demanda'!M18*1000000</f>
        <v>195431748.09964138</v>
      </c>
    </row>
    <row r="10" spans="2:12" ht="15.75">
      <c r="B10" s="144" t="s">
        <v>206</v>
      </c>
      <c r="C10" s="143">
        <f>+'[2]Transporte'!D17</f>
        <v>12588710.15332243</v>
      </c>
      <c r="D10" s="143">
        <f>+'[2]Transporte'!E17</f>
        <v>13344032.766144808</v>
      </c>
      <c r="E10" s="143">
        <f>+'[2]Transporte'!F17</f>
        <v>14144674.735953916</v>
      </c>
      <c r="F10" s="143">
        <f>+'[2]Transporte'!G17</f>
        <v>14993355.22418199</v>
      </c>
      <c r="G10" s="143">
        <f>+'[2]Transporte'!H17</f>
        <v>15892956.541948002</v>
      </c>
      <c r="H10" s="143">
        <f>+'[2]Transporte'!I17</f>
        <v>16846533.931508057</v>
      </c>
      <c r="I10" s="143">
        <f>+'[2]Transporte'!J17</f>
        <v>17857325.964264307</v>
      </c>
      <c r="J10" s="143">
        <f>+'[2]Transporte'!K17</f>
        <v>18928765.51879788</v>
      </c>
      <c r="K10" s="143">
        <f>+'[2]Transporte'!L17</f>
        <v>20064491.44640412</v>
      </c>
      <c r="L10" s="143">
        <f>+'[2]Transporte'!M17</f>
        <v>21268360.92945544</v>
      </c>
    </row>
    <row r="11" spans="1:12" s="145" customFormat="1" ht="15.75">
      <c r="A11" s="148"/>
      <c r="B11" s="56" t="s">
        <v>48</v>
      </c>
      <c r="C11" s="154">
        <f>+'P y G'!C11</f>
        <v>43366.28660231339</v>
      </c>
      <c r="D11" s="154">
        <f>+'P y G'!D11</f>
        <v>46271.44783629142</v>
      </c>
      <c r="E11" s="154">
        <f>+'P y G'!E11</f>
        <v>49371.22941839397</v>
      </c>
      <c r="F11" s="154">
        <f>+'P y G'!F11</f>
        <v>52678.66920671337</v>
      </c>
      <c r="G11" s="154">
        <f>+'P y G'!G11</f>
        <v>56207.67848159865</v>
      </c>
      <c r="H11" s="154">
        <f>+'P y G'!H11</f>
        <v>58467.37903255257</v>
      </c>
      <c r="I11" s="154">
        <f>+'P y G'!I11</f>
        <v>60817.92565148017</v>
      </c>
      <c r="J11" s="154">
        <f>+'P y G'!J11</f>
        <v>63262.97059578464</v>
      </c>
      <c r="K11" s="154">
        <f>+'P y G'!K11</f>
        <v>65806.31295348541</v>
      </c>
      <c r="L11" s="154">
        <f>+'P y G'!L11</f>
        <v>68451.9045462056</v>
      </c>
    </row>
    <row r="12" spans="1:12" s="145" customFormat="1" ht="15.75">
      <c r="A12" s="148"/>
      <c r="B12" s="56" t="s">
        <v>212</v>
      </c>
      <c r="C12" s="154">
        <f>SUM(C13:C22)</f>
        <v>34635.03775781495</v>
      </c>
      <c r="D12" s="154">
        <f aca="true" t="shared" si="0" ref="D12:L12">SUM(D13:D22)</f>
        <v>37437.87915871008</v>
      </c>
      <c r="E12" s="154">
        <f t="shared" si="0"/>
        <v>39335.962503854025</v>
      </c>
      <c r="F12" s="154">
        <f t="shared" si="0"/>
        <v>41346.473648255494</v>
      </c>
      <c r="G12" s="154">
        <f t="shared" si="0"/>
        <v>43858.02381448943</v>
      </c>
      <c r="H12" s="154">
        <f t="shared" si="0"/>
        <v>45684.816372224086</v>
      </c>
      <c r="I12" s="154">
        <f t="shared" si="0"/>
        <v>48034.51222131466</v>
      </c>
      <c r="J12" s="154">
        <f t="shared" si="0"/>
        <v>50521.62971538149</v>
      </c>
      <c r="K12" s="154">
        <f t="shared" si="0"/>
        <v>53154.224145367654</v>
      </c>
      <c r="L12" s="154">
        <f t="shared" si="0"/>
        <v>55904.417545159275</v>
      </c>
    </row>
    <row r="13" spans="1:12" s="145" customFormat="1" ht="15.75">
      <c r="A13" s="148"/>
      <c r="B13" s="20" t="s">
        <v>187</v>
      </c>
      <c r="C13" s="143">
        <f>IF('[1]Tablero de Control'!$B$7='[1]Tablero de Control'!$S$7,'P y G'!C17+'P y G'!C18,0)</f>
        <v>8702.69664</v>
      </c>
      <c r="D13" s="143">
        <f>IF('[1]Tablero de Control'!$B$7='[1]Tablero de Control'!$S$7,'P y G'!D17+'P y G'!D18,0)</f>
        <v>9068.272642721504</v>
      </c>
      <c r="E13" s="143">
        <f>IF('[1]Tablero de Control'!$B$7='[1]Tablero de Control'!$S$7,'P y G'!E17+'P y G'!E18,0)</f>
        <v>9455.77151649594</v>
      </c>
      <c r="F13" s="143">
        <f>IF('[1]Tablero de Control'!$B$7='[1]Tablero de Control'!$S$7,'P y G'!F17+'P y G'!F18,0)</f>
        <v>9866.50816524485</v>
      </c>
      <c r="G13" s="143">
        <f>IF('[1]Tablero de Control'!$B$7='[1]Tablero de Control'!$S$7,'P y G'!G17+'P y G'!G18,0)</f>
        <v>10301.876368356463</v>
      </c>
      <c r="H13" s="143">
        <f>IF('[1]Tablero de Control'!$B$7='[1]Tablero de Control'!$S$7,'P y G'!H17+'P y G'!H18,0)</f>
        <v>10763.353508800214</v>
      </c>
      <c r="I13" s="143">
        <f>IF('[1]Tablero de Control'!$B$7='[1]Tablero de Control'!$S$7,'P y G'!I17+'P y G'!I18,0)</f>
        <v>11252.505599323718</v>
      </c>
      <c r="J13" s="143">
        <f>IF('[1]Tablero de Control'!$B$7='[1]Tablero de Control'!$S$7,'P y G'!J17+'P y G'!J18,0)</f>
        <v>11770.992588866828</v>
      </c>
      <c r="K13" s="143">
        <f>IF('[1]Tablero de Control'!$B$7='[1]Tablero de Control'!$S$7,'P y G'!K17+'P y G'!K18,0)</f>
        <v>12320.57400134128</v>
      </c>
      <c r="L13" s="143">
        <f>IF('[1]Tablero de Control'!$B$7='[1]Tablero de Control'!$S$7,'P y G'!L17+'P y G'!L18,0)</f>
        <v>12903.11490924851</v>
      </c>
    </row>
    <row r="14" spans="1:12" s="145" customFormat="1" ht="15.75">
      <c r="A14" s="148"/>
      <c r="B14" s="20" t="s">
        <v>190</v>
      </c>
      <c r="C14" s="143">
        <f>IF('[1]Tablero de Control'!$B$7='[1]Tablero de Control'!$S$7,'[2]Clasificación'!D48+'[2]Clasificación'!D63*C9/C55,IF('[1]Tablero de Control'!$B$7='[1]Tablero de Control'!$S$8,'[2]Clasificación'!D48+'[2]Clasificación'!D63*C9/C55+'[2]Clasificación'!D67*C9/C55,IF('[1]Tablero de Control'!$B$7='[1]Tablero de Control'!$S$9,'[2]Clasificación'!D48+'[2]Clasificación'!D63*C9/C55+'[2]Clasificación'!D67*C9/C55,0)))</f>
        <v>1460.1857763014075</v>
      </c>
      <c r="D14" s="143">
        <f>IF('[1]Tablero de Control'!$B$7='[1]Tablero de Control'!$S$7,'[2]Clasificación'!E48+'[2]Clasificación'!E63*D9/D55,IF('[1]Tablero de Control'!$B$7='[1]Tablero de Control'!$S$8,'[2]Clasificación'!E48+'[2]Clasificación'!E63*D9/D55+'[2]Clasificación'!E67*D9/D55,IF('[1]Tablero de Control'!$B$7='[1]Tablero de Control'!$S$9,'[2]Clasificación'!E48+'[2]Clasificación'!E63*D9/D55+'[2]Clasificación'!E67*D9/D55,0)))</f>
        <v>1531.6747470236653</v>
      </c>
      <c r="E14" s="143">
        <f>IF('[1]Tablero de Control'!$B$7='[1]Tablero de Control'!$S$7,'[2]Clasificación'!F48+'[2]Clasificación'!F63*E9/E55,IF('[1]Tablero de Control'!$B$7='[1]Tablero de Control'!$S$8,'[2]Clasificación'!F48+'[2]Clasificación'!F63*E9/E55+'[2]Clasificación'!F67*E9/E55,IF('[1]Tablero de Control'!$B$7='[1]Tablero de Control'!$S$9,'[2]Clasificación'!F48+'[2]Clasificación'!F63*E9/E55+'[2]Clasificación'!F67*E9/E55,0)))</f>
        <v>1607.2509125596284</v>
      </c>
      <c r="F14" s="143">
        <f>IF('[1]Tablero de Control'!$B$7='[1]Tablero de Control'!$S$7,'[2]Clasificación'!G48+'[2]Clasificación'!G63*F9/F55,IF('[1]Tablero de Control'!$B$7='[1]Tablero de Control'!$S$8,'[2]Clasificación'!G48+'[2]Clasificación'!G63*F9/F55+'[2]Clasificación'!G67*F9/F55,IF('[1]Tablero de Control'!$B$7='[1]Tablero de Control'!$S$9,'[2]Clasificación'!G48+'[2]Clasificación'!G63*F9/F55+'[2]Clasificación'!G67*F9/F55,0)))</f>
        <v>1687.148288293674</v>
      </c>
      <c r="G14" s="143">
        <f>IF('[1]Tablero de Control'!$B$7='[1]Tablero de Control'!$S$7,'[2]Clasificación'!H48+'[2]Clasificación'!H63*G9/G55,IF('[1]Tablero de Control'!$B$7='[1]Tablero de Control'!$S$8,'[2]Clasificación'!H48+'[2]Clasificación'!H63*G9/G55+'[2]Clasificación'!H67*G9/G55,IF('[1]Tablero de Control'!$B$7='[1]Tablero de Control'!$S$9,'[2]Clasificación'!H48+'[2]Clasificación'!H63*G9/G55+'[2]Clasificación'!H67*G9/G55,0)))</f>
        <v>1771.6143028602833</v>
      </c>
      <c r="H14" s="143">
        <f>IF('[1]Tablero de Control'!$B$7='[1]Tablero de Control'!$S$7,'[2]Clasificación'!I48+'[2]Clasificación'!I63*H9/H55,IF('[1]Tablero de Control'!$B$7='[1]Tablero de Control'!$S$8,'[2]Clasificación'!I48+'[2]Clasificación'!I63*H9/H55+'[2]Clasificación'!I67*H9/H55,IF('[1]Tablero de Control'!$B$7='[1]Tablero de Control'!$S$9,'[2]Clasificación'!I48+'[2]Clasificación'!I63*H9/H55+'[2]Clasificación'!I67*H9/H55,0)))</f>
        <v>1860.910567088206</v>
      </c>
      <c r="I14" s="143">
        <f>IF('[1]Tablero de Control'!$B$7='[1]Tablero de Control'!$S$7,'[2]Clasificación'!J48+'[2]Clasificación'!J63*I9/I55,IF('[1]Tablero de Control'!$B$7='[1]Tablero de Control'!$S$8,'[2]Clasificación'!J48+'[2]Clasificación'!J63*I9/I55+'[2]Clasificación'!J67*I9/I55,IF('[1]Tablero de Control'!$B$7='[1]Tablero de Control'!$S$9,'[2]Clasificación'!J48+'[2]Clasificación'!J63*I9/I55+'[2]Clasificación'!J67*I9/I55,0)))</f>
        <v>1955.3136900252002</v>
      </c>
      <c r="J14" s="143">
        <f>IF('[1]Tablero de Control'!$B$7='[1]Tablero de Control'!$S$7,'[2]Clasificación'!K48+'[2]Clasificación'!K63*J9/J55,IF('[1]Tablero de Control'!$B$7='[1]Tablero de Control'!$S$8,'[2]Clasificación'!K48+'[2]Clasificación'!K63*J9/J55+'[2]Clasificación'!K67*J9/J55,IF('[1]Tablero de Control'!$B$7='[1]Tablero de Control'!$S$9,'[2]Clasificación'!K48+'[2]Clasificación'!K63*J9/J55+'[2]Clasificación'!K67*J9/J55,0)))</f>
        <v>2055.116137533118</v>
      </c>
      <c r="K14" s="143">
        <f>IF('[1]Tablero de Control'!$B$7='[1]Tablero de Control'!$S$7,'[2]Clasificación'!L48+'[2]Clasificación'!L63*K9/K55,IF('[1]Tablero de Control'!$B$7='[1]Tablero de Control'!$S$8,'[2]Clasificación'!L48+'[2]Clasificación'!L63*K9/K55+'[2]Clasificación'!L67*K9/K55,IF('[1]Tablero de Control'!$B$7='[1]Tablero de Control'!$S$9,'[2]Clasificación'!L48+'[2]Clasificación'!L63*K9/K55+'[2]Clasificación'!L67*K9/K55,0)))</f>
        <v>2160.6271430392535</v>
      </c>
      <c r="L14" s="143">
        <f>IF('[1]Tablero de Control'!$B$7='[1]Tablero de Control'!$S$7,'[2]Clasificación'!M48+'[2]Clasificación'!M63*L9/L55,IF('[1]Tablero de Control'!$B$7='[1]Tablero de Control'!$S$8,'[2]Clasificación'!M48+'[2]Clasificación'!M63*L9/L55+'[2]Clasificación'!M67*L9/L55,IF('[1]Tablero de Control'!$B$7='[1]Tablero de Control'!$S$9,'[2]Clasificación'!M48+'[2]Clasificación'!M63*L9/L55+'[2]Clasificación'!M67*L9/L55,0)))</f>
        <v>2272.1736699127346</v>
      </c>
    </row>
    <row r="15" spans="1:12" s="145" customFormat="1" ht="15.75">
      <c r="A15" s="148"/>
      <c r="B15" s="20" t="s">
        <v>191</v>
      </c>
      <c r="C15" s="143">
        <f>'P y G'!C23*C9/C55*'[1]Financieros'!$C$152</f>
        <v>3597.1915902070787</v>
      </c>
      <c r="D15" s="143">
        <f>'P y G'!D23*D9/D55*'[1]Financieros'!$C$152</f>
        <v>3808.208663565564</v>
      </c>
      <c r="E15" s="143">
        <f>'P y G'!E23*E9/E55*'[1]Financieros'!$C$152</f>
        <v>4031.5978959995537</v>
      </c>
      <c r="F15" s="143">
        <f>'P y G'!F23*F9/F55*'[1]Financieros'!$C$152</f>
        <v>4268.084285133847</v>
      </c>
      <c r="G15" s="143">
        <f>'P y G'!G23*G9/G55*'[1]Financieros'!$C$152</f>
        <v>4518.435288535543</v>
      </c>
      <c r="H15" s="143">
        <f>'P y G'!H23*H9/H55*'[1]Financieros'!$C$152</f>
        <v>4783.463306777336</v>
      </c>
      <c r="I15" s="143">
        <f>'P y G'!I23*I9/I55*'[1]Financieros'!$C$152</f>
        <v>5064.028320171675</v>
      </c>
      <c r="J15" s="143">
        <f>'P y G'!J23*J9/J55*'[1]Financieros'!$C$152</f>
        <v>5361.040667271332</v>
      </c>
      <c r="K15" s="143">
        <f>'P y G'!K23*K9/K55*'[1]Financieros'!$C$152</f>
        <v>5675.463994072872</v>
      </c>
      <c r="L15" s="143">
        <f>'P y G'!L23*L9/L55*'[1]Financieros'!$C$152</f>
        <v>6008.318373691112</v>
      </c>
    </row>
    <row r="16" spans="1:12" s="145" customFormat="1" ht="15.75">
      <c r="A16" s="148"/>
      <c r="B16" s="20" t="s">
        <v>192</v>
      </c>
      <c r="C16" s="143">
        <f>'[2]Transporte'!C91*C10/C56</f>
        <v>1547.0646859146516</v>
      </c>
      <c r="D16" s="143">
        <f>'[2]Transporte'!D91*D10/D56</f>
        <v>1641.744012133389</v>
      </c>
      <c r="E16" s="143">
        <f>'[2]Transporte'!E91*E10/E56</f>
        <v>1740.2401290202667</v>
      </c>
      <c r="F16" s="143">
        <f>'[2]Transporte'!F91*F10/F56</f>
        <v>1844.6456670448274</v>
      </c>
      <c r="G16" s="143">
        <f>'[2]Transporte'!G91*G10/G56</f>
        <v>1955.3151775268136</v>
      </c>
      <c r="H16" s="143">
        <f>'[2]Transporte'!H91*H10/H56</f>
        <v>2072.6244843254726</v>
      </c>
      <c r="I16" s="143">
        <f>'[2]Transporte'!I91*I10/I56</f>
        <v>2196.9719591026483</v>
      </c>
      <c r="J16" s="143">
        <f>'[2]Transporte'!J91*J10/J56</f>
        <v>2328.779877182899</v>
      </c>
      <c r="K16" s="143">
        <f>'[2]Transporte'!K91*K10/K56</f>
        <v>2468.4958488309658</v>
      </c>
      <c r="L16" s="143">
        <f>'[2]Transporte'!L91*L10/L56</f>
        <v>2616.5943402710127</v>
      </c>
    </row>
    <row r="17" spans="1:12" s="145" customFormat="1" ht="15.75">
      <c r="A17" s="148"/>
      <c r="B17" s="20" t="s">
        <v>194</v>
      </c>
      <c r="C17" s="143">
        <f>+'P y G'!C27*C9/C55</f>
        <v>16742.68073883778</v>
      </c>
      <c r="D17" s="143">
        <f>+'P y G'!D27*D9/D55</f>
        <v>17724.833454668424</v>
      </c>
      <c r="E17" s="143">
        <f>+'P y G'!E27*E9/E55</f>
        <v>18764.570845726048</v>
      </c>
      <c r="F17" s="143">
        <f>+'P y G'!F27*F9/F55</f>
        <v>19865.267323260083</v>
      </c>
      <c r="G17" s="143">
        <f>+'P y G'!G27*G9/G55</f>
        <v>21030.49492303912</v>
      </c>
      <c r="H17" s="143">
        <f>+'P y G'!H27*H9/H55</f>
        <v>22264.034862459957</v>
      </c>
      <c r="I17" s="143">
        <f>+'P y G'!I27*I9/I55</f>
        <v>23569.889812898873</v>
      </c>
      <c r="J17" s="143">
        <f>+'P y G'!J27*J9/J55</f>
        <v>24952.29683189677</v>
      </c>
      <c r="K17" s="143">
        <f>+'P y G'!K27*K9/K55</f>
        <v>26415.74108985979</v>
      </c>
      <c r="L17" s="143">
        <f>+'P y G'!L27*L9/L55</f>
        <v>27964.970390196086</v>
      </c>
    </row>
    <row r="18" spans="1:12" s="145" customFormat="1" ht="15.75">
      <c r="A18" s="148"/>
      <c r="B18" s="20" t="s">
        <v>211</v>
      </c>
      <c r="C18" s="143">
        <f>+'P y G'!C28*C9/C55</f>
        <v>394.62857287891234</v>
      </c>
      <c r="D18" s="143">
        <f>+'P y G'!D28*D9/D55</f>
        <v>394.6264058020463</v>
      </c>
      <c r="E18" s="143">
        <f>+'P y G'!E28*E9/E55</f>
        <v>395.00358395952037</v>
      </c>
      <c r="F18" s="143">
        <f>+'P y G'!F28*F9/F55</f>
        <v>395.40098360853</v>
      </c>
      <c r="G18" s="143">
        <f>+'P y G'!G28*G9/G55</f>
        <v>741.3685449440779</v>
      </c>
      <c r="H18" s="143">
        <f>+'P y G'!H28*H9/H55</f>
        <v>396.2612371857139</v>
      </c>
      <c r="I18" s="143">
        <f>+'P y G'!I28*I9/I55</f>
        <v>396.72665777636814</v>
      </c>
      <c r="J18" s="143">
        <f>+'P y G'!J28*J9/J55</f>
        <v>397.2174411324547</v>
      </c>
      <c r="K18" s="143">
        <f>+'P y G'!K28*K9/K55</f>
        <v>397.7350606207602</v>
      </c>
      <c r="L18" s="143">
        <f>+'P y G'!L28*L9/L55</f>
        <v>398.2810735909568</v>
      </c>
    </row>
    <row r="19" spans="1:12" s="145" customFormat="1" ht="15.75">
      <c r="A19" s="148"/>
      <c r="B19" s="20" t="s">
        <v>210</v>
      </c>
      <c r="C19" s="143">
        <f>+'P y G'!C32*C9/C55</f>
        <v>36.392370904055895</v>
      </c>
      <c r="D19" s="143">
        <f>+'P y G'!D32*D9/D55</f>
        <v>36.39401388536205</v>
      </c>
      <c r="E19" s="143">
        <f>+'P y G'!E32*E9/E55</f>
        <v>36.39562610320786</v>
      </c>
      <c r="F19" s="143">
        <f>+'P y G'!F32*F9/F55</f>
        <v>36.397208131386655</v>
      </c>
      <c r="G19" s="143">
        <f>+'P y G'!G32*G9/G55</f>
        <v>72.79752106616436</v>
      </c>
      <c r="H19" s="143">
        <f>+'P y G'!H32*H9/H55</f>
        <v>36.40028386112424</v>
      </c>
      <c r="I19" s="143">
        <f>+'P y G'!I32*I9/I55</f>
        <v>36.40177865798681</v>
      </c>
      <c r="J19" s="143">
        <f>+'P y G'!J32*J9/J55</f>
        <v>36.40324545616708</v>
      </c>
      <c r="K19" s="143">
        <f>+'P y G'!K32*K9/K55</f>
        <v>36.40468477830293</v>
      </c>
      <c r="L19" s="143">
        <f>+'P y G'!L32*L9/L55</f>
        <v>0</v>
      </c>
    </row>
    <row r="20" spans="1:12" s="145" customFormat="1" ht="15.75">
      <c r="A20" s="148"/>
      <c r="B20" s="20" t="s">
        <v>209</v>
      </c>
      <c r="C20" s="143">
        <f>+'P y G'!C34*'P y G'!C11/'P y G'!C10</f>
        <v>10.1600048380395</v>
      </c>
      <c r="D20" s="143">
        <f>+'P y G'!D34*'P y G'!D11/'P y G'!D10</f>
        <v>23.747745363462368</v>
      </c>
      <c r="E20" s="143">
        <f>+'P y G'!E34*'P y G'!E11/'P y G'!E10</f>
        <v>25.364561088996606</v>
      </c>
      <c r="F20" s="143">
        <f>+'P y G'!F34*'P y G'!F11/'P y G'!F10</f>
        <v>27.089975148575835</v>
      </c>
      <c r="G20" s="143">
        <f>+'P y G'!G34*'P y G'!G11/'P y G'!G10</f>
        <v>28.931263520051075</v>
      </c>
      <c r="H20" s="143">
        <f>+'P y G'!H34*'P y G'!H11/'P y G'!H10</f>
        <v>18.514838343358143</v>
      </c>
      <c r="I20" s="143">
        <f>+'P y G'!I34*'P y G'!I11/'P y G'!I10</f>
        <v>19.270482569729964</v>
      </c>
      <c r="J20" s="143">
        <f>+'P y G'!J34*'P y G'!J11/'P y G'!J10</f>
        <v>20.05655589166675</v>
      </c>
      <c r="K20" s="143">
        <f>+'P y G'!K34*'P y G'!K11/'P y G'!K10</f>
        <v>20.87428154095847</v>
      </c>
      <c r="L20" s="143">
        <f>+'P y G'!L34*'P y G'!L11/'P y G'!L10</f>
        <v>21.724931942764357</v>
      </c>
    </row>
    <row r="21" spans="1:12" s="145" customFormat="1" ht="15.75">
      <c r="A21" s="148"/>
      <c r="B21" s="20" t="s">
        <v>213</v>
      </c>
      <c r="C21" s="143">
        <f>'[2]Overhead'!$C$33*C9/C55</f>
        <v>2144.0373779330293</v>
      </c>
      <c r="D21" s="143">
        <f>'[2]Overhead'!$C$33*D9/D55</f>
        <v>2144.1341733119543</v>
      </c>
      <c r="E21" s="143">
        <f>'[2]Overhead'!$C$33*E9/E55</f>
        <v>2144.229156277805</v>
      </c>
      <c r="F21" s="143">
        <f>'[2]Overhead'!$C$33*F9/F55</f>
        <v>2144.322360635312</v>
      </c>
      <c r="G21" s="143">
        <f>'[2]Overhead'!$C$33*G9/G55</f>
        <v>2144.4138195641513</v>
      </c>
      <c r="H21" s="143">
        <f>'[2]Overhead'!$C$33*H9/H55</f>
        <v>2144.5035656339965</v>
      </c>
      <c r="I21" s="143">
        <f>'[2]Overhead'!$C$33*I9/I55</f>
        <v>2144.59163080442</v>
      </c>
      <c r="J21" s="143">
        <f>'[2]Overhead'!$C$33*J9/J55</f>
        <v>2144.6780464472113</v>
      </c>
      <c r="K21" s="143">
        <f>'[2]Overhead'!$C$33*K9/K55</f>
        <v>2144.762843353307</v>
      </c>
      <c r="L21" s="143">
        <f>'[2]Overhead'!$C$33*L9/L55</f>
        <v>2144.846051743368</v>
      </c>
    </row>
    <row r="22" spans="1:12" s="145" customFormat="1" ht="15.75">
      <c r="A22" s="148"/>
      <c r="B22" s="20" t="s">
        <v>246</v>
      </c>
      <c r="C22" s="143">
        <v>0</v>
      </c>
      <c r="D22" s="143">
        <f>+'P y G'!D33*D11/'P y G'!D10</f>
        <v>1064.2433002347027</v>
      </c>
      <c r="E22" s="143">
        <f>+'P y G'!E33*E11/'P y G'!E10</f>
        <v>1135.5382766230612</v>
      </c>
      <c r="F22" s="143">
        <f>+'P y G'!F33*F11/'P y G'!F10</f>
        <v>1211.6093917544074</v>
      </c>
      <c r="G22" s="143">
        <f>+'P y G'!G33*G11/'P y G'!G10</f>
        <v>1292.7766050767689</v>
      </c>
      <c r="H22" s="143">
        <f>+'P y G'!H33*H11/'P y G'!H10</f>
        <v>1344.749717748709</v>
      </c>
      <c r="I22" s="143">
        <f>+'P y G'!I33*I11/'P y G'!I10</f>
        <v>1398.812289984044</v>
      </c>
      <c r="J22" s="143">
        <f>+'P y G'!J33*J11/'P y G'!J10</f>
        <v>1455.0483237030464</v>
      </c>
      <c r="K22" s="143">
        <f>+'P y G'!K33*K11/'P y G'!K10</f>
        <v>1513.5451979301645</v>
      </c>
      <c r="L22" s="143">
        <f>+'P y G'!L33*L11/'P y G'!L10</f>
        <v>1574.3938045627285</v>
      </c>
    </row>
    <row r="23" spans="1:12" s="145" customFormat="1" ht="15.75">
      <c r="A23" s="148"/>
      <c r="B23" s="56" t="s">
        <v>68</v>
      </c>
      <c r="C23" s="154">
        <f>+C11-C12</f>
        <v>8731.248844498441</v>
      </c>
      <c r="D23" s="154">
        <f aca="true" t="shared" si="1" ref="D23:L23">+D11-D12</f>
        <v>8833.568677581345</v>
      </c>
      <c r="E23" s="154">
        <f t="shared" si="1"/>
        <v>10035.266914539941</v>
      </c>
      <c r="F23" s="154">
        <f t="shared" si="1"/>
        <v>11332.195558457875</v>
      </c>
      <c r="G23" s="154">
        <f t="shared" si="1"/>
        <v>12349.654667109215</v>
      </c>
      <c r="H23" s="154">
        <f t="shared" si="1"/>
        <v>12782.562660328484</v>
      </c>
      <c r="I23" s="154">
        <f t="shared" si="1"/>
        <v>12783.413430165507</v>
      </c>
      <c r="J23" s="154">
        <f t="shared" si="1"/>
        <v>12741.34088040315</v>
      </c>
      <c r="K23" s="154">
        <f t="shared" si="1"/>
        <v>12652.088808117755</v>
      </c>
      <c r="L23" s="154">
        <f t="shared" si="1"/>
        <v>12547.48700104632</v>
      </c>
    </row>
    <row r="24" spans="1:12" s="145" customFormat="1" ht="15.75">
      <c r="A24" s="148"/>
      <c r="B24" s="20" t="s">
        <v>248</v>
      </c>
      <c r="C24" s="143">
        <f>'P y G'!C43*C9/C55</f>
        <v>83.87467632246066</v>
      </c>
      <c r="D24" s="143">
        <f>'P y G'!D43*D9/D55</f>
        <v>264.40231703477986</v>
      </c>
      <c r="E24" s="143">
        <f>'P y G'!E43*E9/E55</f>
        <v>478.42272360447936</v>
      </c>
      <c r="F24" s="143">
        <f>'P y G'!F43*F9/F55</f>
        <v>736.0981657540592</v>
      </c>
      <c r="G24" s="143">
        <f>'P y G'!G43*G9/G55</f>
        <v>993.8054092567038</v>
      </c>
      <c r="H24" s="143">
        <f>'P y G'!H43*H9/H55</f>
        <v>1282.323743616766</v>
      </c>
      <c r="I24" s="143">
        <f>'P y G'!I43*I9/I55</f>
        <v>1625.8359318223138</v>
      </c>
      <c r="J24" s="143">
        <f>'P y G'!J43*J9/J55</f>
        <v>1970.3954854069632</v>
      </c>
      <c r="K24" s="143">
        <f>'P y G'!K43*K9/K55</f>
        <v>2313.297318940585</v>
      </c>
      <c r="L24" s="143">
        <f>'P y G'!L43*L9/L55</f>
        <v>2586.0736180378267</v>
      </c>
    </row>
    <row r="25" spans="1:12" s="145" customFormat="1" ht="15.75">
      <c r="A25" s="148"/>
      <c r="B25" s="56" t="s">
        <v>214</v>
      </c>
      <c r="C25" s="154">
        <f>+C23+C24</f>
        <v>8815.123520820902</v>
      </c>
      <c r="D25" s="154">
        <f aca="true" t="shared" si="2" ref="D25:L25">+D23+D24</f>
        <v>9097.970994616124</v>
      </c>
      <c r="E25" s="154">
        <f t="shared" si="2"/>
        <v>10513.68963814442</v>
      </c>
      <c r="F25" s="154">
        <f t="shared" si="2"/>
        <v>12068.293724211935</v>
      </c>
      <c r="G25" s="154">
        <f t="shared" si="2"/>
        <v>13343.460076365918</v>
      </c>
      <c r="H25" s="154">
        <f t="shared" si="2"/>
        <v>14064.88640394525</v>
      </c>
      <c r="I25" s="154">
        <f t="shared" si="2"/>
        <v>14409.24936198782</v>
      </c>
      <c r="J25" s="154">
        <f t="shared" si="2"/>
        <v>14711.736365810113</v>
      </c>
      <c r="K25" s="154">
        <f t="shared" si="2"/>
        <v>14965.38612705834</v>
      </c>
      <c r="L25" s="154">
        <f t="shared" si="2"/>
        <v>15133.560619084146</v>
      </c>
    </row>
    <row r="26" spans="1:12" s="145" customFormat="1" ht="15.75">
      <c r="A26" s="148"/>
      <c r="B26" s="20" t="s">
        <v>215</v>
      </c>
      <c r="C26" s="143">
        <f>'P y G'!C48*C9/C55</f>
        <v>1397.617777362135</v>
      </c>
      <c r="D26" s="143">
        <f>'P y G'!D48*D9/D55</f>
        <v>1751.1657814339687</v>
      </c>
      <c r="E26" s="143">
        <f>'P y G'!E48*E9/E55</f>
        <v>2144.738222213949</v>
      </c>
      <c r="F26" s="143">
        <f>'P y G'!F48*F9/F55</f>
        <v>2579.69284512616</v>
      </c>
      <c r="G26" s="143">
        <f>'P y G'!G48*G9/G55</f>
        <v>2917.720707467534</v>
      </c>
      <c r="H26" s="143">
        <f>'P y G'!H48*H9/H55</f>
        <v>3066.699528862512</v>
      </c>
      <c r="I26" s="143">
        <f>'P y G'!I48*I9/I55</f>
        <v>3085.909906183328</v>
      </c>
      <c r="J26" s="143">
        <f>'P y G'!J48*J9/J55</f>
        <v>3085.720289206819</v>
      </c>
      <c r="K26" s="143">
        <f>'P y G'!K48*K9/K55</f>
        <v>3063.506190103429</v>
      </c>
      <c r="L26" s="143">
        <f>'P y G'!L48*L9/L55</f>
        <v>3006.830630238369</v>
      </c>
    </row>
    <row r="27" spans="1:12" s="145" customFormat="1" ht="15.75">
      <c r="A27" s="148"/>
      <c r="B27" s="56" t="s">
        <v>249</v>
      </c>
      <c r="C27" s="154">
        <f>+C25-C26</f>
        <v>7417.505743458767</v>
      </c>
      <c r="D27" s="154">
        <f aca="true" t="shared" si="3" ref="D27:L27">+D25-D26</f>
        <v>7346.805213182155</v>
      </c>
      <c r="E27" s="154">
        <f t="shared" si="3"/>
        <v>8368.95141593047</v>
      </c>
      <c r="F27" s="154">
        <f t="shared" si="3"/>
        <v>9488.600879085774</v>
      </c>
      <c r="G27" s="154">
        <f t="shared" si="3"/>
        <v>10425.739368898385</v>
      </c>
      <c r="H27" s="154">
        <f t="shared" si="3"/>
        <v>10998.186875082738</v>
      </c>
      <c r="I27" s="154">
        <f t="shared" si="3"/>
        <v>11323.339455804493</v>
      </c>
      <c r="J27" s="154">
        <f t="shared" si="3"/>
        <v>11626.016076603293</v>
      </c>
      <c r="K27" s="154">
        <f t="shared" si="3"/>
        <v>11901.87993695491</v>
      </c>
      <c r="L27" s="154">
        <f t="shared" si="3"/>
        <v>12126.729988845778</v>
      </c>
    </row>
    <row r="28" spans="1:12" s="145" customFormat="1" ht="4.5" customHeight="1">
      <c r="A28" s="148"/>
      <c r="B28" s="147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s="145" customFormat="1" ht="4.5" customHeight="1">
      <c r="A29" s="148"/>
      <c r="B29" s="147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s="145" customFormat="1" ht="15.75">
      <c r="A30" s="148"/>
      <c r="B30" s="56" t="s">
        <v>239</v>
      </c>
      <c r="C30" s="154">
        <f>+'Flujo de Caja'!D29</f>
        <v>149.84507684922573</v>
      </c>
      <c r="D30" s="154">
        <f>+'Flujo de Caja'!E29</f>
        <v>401.84931920004874</v>
      </c>
      <c r="E30" s="154">
        <f>+'Flujo de Caja'!F29</f>
        <v>429.8654940484603</v>
      </c>
      <c r="F30" s="154">
        <f>+'Flujo de Caja'!G29</f>
        <v>459.2616787915322</v>
      </c>
      <c r="G30" s="154">
        <f>+'Flujo de Caja'!H29</f>
        <v>474.7166503853832</v>
      </c>
      <c r="H30" s="154">
        <f>+'Flujo de Caja'!I29</f>
        <v>289.91900476714636</v>
      </c>
      <c r="I30" s="154">
        <f>+'Flujo de Caja'!J29</f>
        <v>282.56572371429684</v>
      </c>
      <c r="J30" s="154">
        <f>+'Flujo de Caja'!K29</f>
        <v>291.88867248367933</v>
      </c>
      <c r="K30" s="154">
        <f>+'Flujo de Caja'!L29</f>
        <v>301.46778058395284</v>
      </c>
      <c r="L30" s="154">
        <f>+'Flujo de Caja'!M29</f>
        <v>312.826375483477</v>
      </c>
    </row>
    <row r="31" spans="1:12" s="145" customFormat="1" ht="15.75">
      <c r="A31" s="148"/>
      <c r="B31" s="147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s="145" customFormat="1" ht="15.75">
      <c r="A32" s="148"/>
      <c r="B32" s="159" t="s">
        <v>201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s="145" customFormat="1" ht="15.75">
      <c r="A33" s="148"/>
      <c r="B33" s="149" t="str">
        <f>+B6</f>
        <v>Masivo Puro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s="145" customFormat="1" ht="4.5" customHeight="1">
      <c r="A34" s="148"/>
      <c r="B34" s="147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1:12" s="145" customFormat="1" ht="15.75">
      <c r="A35" s="148"/>
      <c r="B35" s="53" t="s">
        <v>216</v>
      </c>
      <c r="C35" s="54">
        <f>+C8</f>
        <v>2010</v>
      </c>
      <c r="E35" s="142"/>
      <c r="F35" s="142"/>
      <c r="G35" s="142"/>
      <c r="H35" s="142"/>
      <c r="I35" s="142"/>
      <c r="J35" s="142"/>
      <c r="K35" s="142"/>
      <c r="L35" s="142"/>
    </row>
    <row r="36" spans="1:12" s="145" customFormat="1" ht="15.75">
      <c r="A36" s="148"/>
      <c r="B36" s="56" t="s">
        <v>218</v>
      </c>
      <c r="C36" s="143"/>
      <c r="H36" s="142"/>
      <c r="I36" s="142"/>
      <c r="J36" s="142"/>
      <c r="K36" s="142"/>
      <c r="L36" s="142"/>
    </row>
    <row r="37" spans="1:12" s="145" customFormat="1" ht="15.75">
      <c r="A37" s="148"/>
      <c r="B37" s="20" t="s">
        <v>222</v>
      </c>
      <c r="C37" s="143">
        <f>(C13/$C$9*1000000)*(1+'Costo de Capital'!$F$8)</f>
        <v>82.21649875529964</v>
      </c>
      <c r="H37" s="142"/>
      <c r="I37" s="142"/>
      <c r="J37" s="142"/>
      <c r="K37" s="142"/>
      <c r="L37" s="142"/>
    </row>
    <row r="38" spans="1:12" s="145" customFormat="1" ht="15.75">
      <c r="A38" s="148"/>
      <c r="B38" s="20" t="s">
        <v>223</v>
      </c>
      <c r="C38" s="143">
        <f>(C14/$C$9*1000000)*(1+'Costo de Capital'!$F$8)</f>
        <v>13.79473133741117</v>
      </c>
      <c r="E38" s="142"/>
      <c r="F38" s="142"/>
      <c r="G38" s="142"/>
      <c r="H38" s="142"/>
      <c r="I38" s="142"/>
      <c r="J38" s="142"/>
      <c r="K38" s="142"/>
      <c r="L38" s="142"/>
    </row>
    <row r="39" spans="1:12" s="145" customFormat="1" ht="15.75">
      <c r="A39" s="148"/>
      <c r="B39" s="20" t="s">
        <v>224</v>
      </c>
      <c r="C39" s="143">
        <f>(C15/$C$9*1000000)*(1+'Costo de Capital'!$F$8)</f>
        <v>33.98354672498783</v>
      </c>
      <c r="D39" s="175"/>
      <c r="E39" s="175"/>
      <c r="F39" s="175"/>
      <c r="G39" s="175"/>
      <c r="H39" s="142"/>
      <c r="I39" s="142"/>
      <c r="J39" s="142"/>
      <c r="K39" s="142"/>
      <c r="L39" s="142"/>
    </row>
    <row r="40" spans="1:12" s="145" customFormat="1" ht="15.75">
      <c r="A40" s="148"/>
      <c r="B40" s="20" t="s">
        <v>225</v>
      </c>
      <c r="C40" s="143">
        <f>(C16/$C$9*1000000)*(1+'Costo de Capital'!$F$8)</f>
        <v>14.615497596371457</v>
      </c>
      <c r="D40" s="142"/>
      <c r="E40" s="173"/>
      <c r="F40" s="174"/>
      <c r="G40" s="142"/>
      <c r="H40" s="142"/>
      <c r="I40" s="142"/>
      <c r="J40" s="142"/>
      <c r="K40" s="142"/>
      <c r="L40" s="142"/>
    </row>
    <row r="41" spans="1:12" s="145" customFormat="1" ht="15.75">
      <c r="A41" s="148"/>
      <c r="B41" s="20" t="s">
        <v>226</v>
      </c>
      <c r="C41" s="143">
        <f>(C17/$C$9*1000000)*(1+'Costo de Capital'!$F$8)</f>
        <v>158.1721904217766</v>
      </c>
      <c r="D41" s="153"/>
      <c r="E41" s="142"/>
      <c r="F41" s="142"/>
      <c r="G41" s="142"/>
      <c r="H41" s="142"/>
      <c r="I41" s="142"/>
      <c r="J41" s="142"/>
      <c r="K41" s="142"/>
      <c r="L41" s="142"/>
    </row>
    <row r="42" spans="1:12" s="145" customFormat="1" ht="15.75">
      <c r="A42" s="148"/>
      <c r="B42" s="20" t="s">
        <v>227</v>
      </c>
      <c r="C42" s="143">
        <f>(C18/$C$9*1000000)*(1+'Costo de Capital'!$F$8)</f>
        <v>3.728152423672758</v>
      </c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s="145" customFormat="1" ht="15.75">
      <c r="A43" s="148"/>
      <c r="B43" s="20" t="s">
        <v>228</v>
      </c>
      <c r="C43" s="143">
        <f>(C19/$C$9*1000000)*(1+'Costo de Capital'!$F$8)</f>
        <v>0.34380760825137924</v>
      </c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s="145" customFormat="1" ht="15.75">
      <c r="A44" s="148"/>
      <c r="B44" s="20" t="s">
        <v>229</v>
      </c>
      <c r="C44" s="143">
        <f>(C20/$C$9*1000000)*(1+'Costo de Capital'!$F$8)</f>
        <v>0.09598404490869542</v>
      </c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s="145" customFormat="1" ht="15.75">
      <c r="A45" s="148"/>
      <c r="B45" s="20" t="s">
        <v>247</v>
      </c>
      <c r="C45" s="143">
        <f>(C22/$C$9*1000000)*(1+'Costo de Capital'!$F$8)</f>
        <v>0</v>
      </c>
      <c r="D45" s="172"/>
      <c r="E45" s="172"/>
      <c r="F45" s="172"/>
      <c r="G45" s="142"/>
      <c r="H45" s="142"/>
      <c r="I45" s="142"/>
      <c r="J45" s="142"/>
      <c r="K45" s="142"/>
      <c r="L45" s="142"/>
    </row>
    <row r="46" spans="1:12" s="145" customFormat="1" ht="15.75">
      <c r="A46" s="148"/>
      <c r="B46" s="158" t="s">
        <v>220</v>
      </c>
      <c r="C46" s="154">
        <f>SUM(C37:C45)</f>
        <v>306.9504089126795</v>
      </c>
      <c r="D46" s="153"/>
      <c r="E46" s="153"/>
      <c r="F46" s="171"/>
      <c r="G46" s="153"/>
      <c r="H46" s="142"/>
      <c r="I46" s="142"/>
      <c r="J46" s="142"/>
      <c r="K46" s="142"/>
      <c r="L46" s="142"/>
    </row>
    <row r="47" spans="1:12" s="145" customFormat="1" ht="15.75">
      <c r="A47" s="148"/>
      <c r="B47" s="56" t="s">
        <v>219</v>
      </c>
      <c r="C47" s="143"/>
      <c r="D47" s="142"/>
      <c r="H47" s="142"/>
      <c r="I47" s="142"/>
      <c r="J47" s="142"/>
      <c r="K47" s="142"/>
      <c r="L47" s="142"/>
    </row>
    <row r="48" spans="1:12" s="145" customFormat="1" ht="15.75">
      <c r="A48" s="148"/>
      <c r="B48" s="20" t="s">
        <v>230</v>
      </c>
      <c r="C48" s="143">
        <f>(C21/$C$9*1000000)*(1+'Costo de Capital'!$F$8)</f>
        <v>20.255244288757236</v>
      </c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 s="145" customFormat="1" ht="15.75">
      <c r="A49" s="148"/>
      <c r="B49" s="20" t="s">
        <v>231</v>
      </c>
      <c r="C49" s="143">
        <f>(C26/$C$9*1000000)*(1+'Costo de Capital'!$F$8)</f>
        <v>13.20363618383906</v>
      </c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 s="145" customFormat="1" ht="15.75">
      <c r="A50" s="148"/>
      <c r="B50" s="158" t="s">
        <v>221</v>
      </c>
      <c r="C50" s="154">
        <f>SUM(C48:C49)</f>
        <v>33.4588804725963</v>
      </c>
      <c r="D50" s="142"/>
      <c r="H50" s="142"/>
      <c r="I50" s="142"/>
      <c r="J50" s="142"/>
      <c r="K50" s="142"/>
      <c r="L50" s="142"/>
    </row>
    <row r="51" spans="1:12" s="145" customFormat="1" ht="15.75">
      <c r="A51" s="148"/>
      <c r="B51" s="56" t="s">
        <v>240</v>
      </c>
      <c r="C51" s="154">
        <f>+'PyG Productos'!C137</f>
        <v>1.2638163116166747</v>
      </c>
      <c r="D51" s="142"/>
      <c r="H51" s="142"/>
      <c r="I51" s="142"/>
      <c r="J51" s="142"/>
      <c r="K51" s="142"/>
      <c r="L51" s="142"/>
    </row>
    <row r="52" spans="1:12" s="145" customFormat="1" ht="15.75">
      <c r="A52" s="148"/>
      <c r="B52" s="157" t="s">
        <v>217</v>
      </c>
      <c r="C52" s="154">
        <f>+C46+C50+C51</f>
        <v>341.6731056968925</v>
      </c>
      <c r="D52" s="153"/>
      <c r="E52" s="171"/>
      <c r="F52" s="171"/>
      <c r="G52" s="171"/>
      <c r="H52" s="142"/>
      <c r="I52" s="142"/>
      <c r="J52" s="142"/>
      <c r="K52" s="142"/>
      <c r="L52" s="142"/>
    </row>
    <row r="53" spans="1:12" s="145" customFormat="1" ht="4.5" customHeight="1">
      <c r="A53" s="148"/>
      <c r="B53" s="147"/>
      <c r="C53" s="153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2:12" ht="15.75">
      <c r="B54" s="53" t="s">
        <v>234</v>
      </c>
      <c r="C54" s="54">
        <f>+C8</f>
        <v>2010</v>
      </c>
      <c r="D54" s="54">
        <f>+C54+1</f>
        <v>2011</v>
      </c>
      <c r="E54" s="54">
        <f aca="true" t="shared" si="4" ref="E54:L54">+D54+1</f>
        <v>2012</v>
      </c>
      <c r="F54" s="54">
        <f t="shared" si="4"/>
        <v>2013</v>
      </c>
      <c r="G54" s="54">
        <f t="shared" si="4"/>
        <v>2014</v>
      </c>
      <c r="H54" s="54">
        <f t="shared" si="4"/>
        <v>2015</v>
      </c>
      <c r="I54" s="54">
        <f t="shared" si="4"/>
        <v>2016</v>
      </c>
      <c r="J54" s="54">
        <f t="shared" si="4"/>
        <v>2017</v>
      </c>
      <c r="K54" s="54">
        <f t="shared" si="4"/>
        <v>2018</v>
      </c>
      <c r="L54" s="54">
        <f t="shared" si="4"/>
        <v>2019</v>
      </c>
    </row>
    <row r="55" spans="2:12" ht="15.75">
      <c r="B55" s="144" t="s">
        <v>232</v>
      </c>
      <c r="C55" s="143">
        <f>+'[2]Demanda'!D17*1000000+C69</f>
        <v>115954286.74420416</v>
      </c>
      <c r="D55" s="143">
        <f>+'[2]Demanda'!E17*1000000</f>
        <v>122905995.22990553</v>
      </c>
      <c r="E55" s="143">
        <f>+'[2]Demanda'!F17*1000000</f>
        <v>130274583.94733727</v>
      </c>
      <c r="F55" s="143">
        <f>+'[2]Demanda'!G17*1000000</f>
        <v>138085056.8045273</v>
      </c>
      <c r="G55" s="143">
        <f>+'[2]Demanda'!H17*1000000</f>
        <v>146363917.58708578</v>
      </c>
      <c r="H55" s="143">
        <f>+'[2]Demanda'!I17*1000000</f>
        <v>155139259.86693424</v>
      </c>
      <c r="I55" s="143">
        <f>+'[2]Demanda'!J17*1000000</f>
        <v>164440862.57930174</v>
      </c>
      <c r="J55" s="143">
        <f>+'[2]Demanda'!K17*1000000</f>
        <v>174300290.92826375</v>
      </c>
      <c r="K55" s="143">
        <f>+'[2]Demanda'!L17*1000000</f>
        <v>184751003.61246818</v>
      </c>
      <c r="L55" s="143">
        <f>+'[2]Demanda'!M17*1000000</f>
        <v>195828466.41806674</v>
      </c>
    </row>
    <row r="56" spans="2:12" ht="15.75">
      <c r="B56" s="144" t="s">
        <v>233</v>
      </c>
      <c r="C56" s="143">
        <f>+'[2]Transporte'!D16</f>
        <v>12768034.45568989</v>
      </c>
      <c r="D56" s="143">
        <f>+'[2]Transporte'!E16</f>
        <v>13530544.1752478</v>
      </c>
      <c r="E56" s="143">
        <f>+'[2]Transporte'!F16</f>
        <v>14338661.372120578</v>
      </c>
      <c r="F56" s="143">
        <f>+'[2]Transporte'!G16</f>
        <v>15195116.761176227</v>
      </c>
      <c r="G56" s="143">
        <f>+'[2]Transporte'!H16</f>
        <v>16102804.670394927</v>
      </c>
      <c r="H56" s="143">
        <f>+'[2]Transporte'!I16</f>
        <v>17064792.840643913</v>
      </c>
      <c r="I56" s="143">
        <f>+'[2]Transporte'!J16</f>
        <v>18084332.843816224</v>
      </c>
      <c r="J56" s="143">
        <f>+'[2]Transporte'!K16</f>
        <v>19164871.080214534</v>
      </c>
      <c r="K56" s="143">
        <f>+'[2]Transporte'!L16</f>
        <v>20310060.465260573</v>
      </c>
      <c r="L56" s="143">
        <f>+'[2]Transporte'!M16</f>
        <v>21523772.80962325</v>
      </c>
    </row>
    <row r="57" spans="1:12" s="145" customFormat="1" ht="4.5" customHeight="1">
      <c r="A57" s="148"/>
      <c r="B57" s="147"/>
      <c r="C57" s="153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4" ht="15.75">
      <c r="A58" s="200"/>
      <c r="B58" s="156"/>
      <c r="C58" s="183"/>
      <c r="D58" s="199"/>
    </row>
    <row r="59" spans="1:4" ht="15.75">
      <c r="A59" s="200"/>
      <c r="B59" s="156"/>
      <c r="C59" s="200"/>
      <c r="D59" s="200"/>
    </row>
    <row r="60" spans="1:4" ht="15.75">
      <c r="A60" s="200"/>
      <c r="B60" s="201"/>
      <c r="C60" s="202"/>
      <c r="D60" s="203"/>
    </row>
    <row r="61" spans="1:4" ht="15.75">
      <c r="A61" s="200"/>
      <c r="B61" s="204"/>
      <c r="C61" s="202"/>
      <c r="D61" s="202"/>
    </row>
    <row r="62" spans="1:4" ht="15.75">
      <c r="A62" s="200"/>
      <c r="B62" s="156"/>
      <c r="C62" s="200"/>
      <c r="D62" s="200"/>
    </row>
    <row r="63" spans="1:4" ht="15.75">
      <c r="A63" s="200"/>
      <c r="B63" s="201"/>
      <c r="C63" s="202"/>
      <c r="D63" s="203"/>
    </row>
    <row r="64" spans="1:4" ht="15.75">
      <c r="A64" s="200"/>
      <c r="B64" s="204"/>
      <c r="C64" s="202"/>
      <c r="D64" s="202"/>
    </row>
    <row r="65" spans="1:4" ht="15.75">
      <c r="A65" s="200"/>
      <c r="B65" s="156"/>
      <c r="C65" s="200"/>
      <c r="D65" s="200"/>
    </row>
    <row r="66" spans="1:4" ht="15.75">
      <c r="A66" s="200"/>
      <c r="B66" s="201"/>
      <c r="C66" s="202"/>
      <c r="D66" s="203"/>
    </row>
    <row r="67" spans="1:4" ht="15.75">
      <c r="A67" s="200"/>
      <c r="B67" s="204"/>
      <c r="C67" s="202"/>
      <c r="D67" s="202"/>
    </row>
    <row r="68" spans="1:12" s="145" customFormat="1" ht="4.5" customHeight="1">
      <c r="A68" s="182"/>
      <c r="B68" s="197"/>
      <c r="C68" s="191"/>
      <c r="D68" s="185"/>
      <c r="E68" s="142"/>
      <c r="F68" s="142"/>
      <c r="G68" s="142"/>
      <c r="H68" s="142"/>
      <c r="I68" s="142"/>
      <c r="J68" s="142"/>
      <c r="K68" s="142"/>
      <c r="L68" s="142"/>
    </row>
    <row r="69" spans="1:4" ht="15.75">
      <c r="A69" s="200"/>
      <c r="B69" s="156"/>
      <c r="C69" s="202"/>
      <c r="D69" s="200"/>
    </row>
    <row r="70" spans="1:4" ht="12.75">
      <c r="A70" s="200"/>
      <c r="B70" s="200"/>
      <c r="C70" s="200"/>
      <c r="D70" s="200"/>
    </row>
    <row r="71" spans="1:4" ht="12.75">
      <c r="A71" s="200"/>
      <c r="B71" s="200"/>
      <c r="C71" s="200"/>
      <c r="D71" s="2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A2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45.28125" style="2" customWidth="1"/>
    <col min="3" max="3" width="13.00390625" style="2" bestFit="1" customWidth="1"/>
    <col min="4" max="4" width="11.57421875" style="2" customWidth="1"/>
    <col min="5" max="5" width="11.57421875" style="2" bestFit="1" customWidth="1"/>
    <col min="6" max="6" width="11.7109375" style="2" customWidth="1"/>
    <col min="7" max="8" width="11.57421875" style="2" bestFit="1" customWidth="1"/>
    <col min="9" max="11" width="12.28125" style="2" bestFit="1" customWidth="1"/>
    <col min="12" max="13" width="12.28125" style="2" customWidth="1"/>
    <col min="14" max="16384" width="11.421875" style="2" customWidth="1"/>
  </cols>
  <sheetData>
    <row r="1" spans="2:8" ht="4.5" customHeight="1">
      <c r="B1" s="1"/>
      <c r="C1" s="1"/>
      <c r="D1" s="1"/>
      <c r="E1" s="1"/>
      <c r="F1" s="1"/>
      <c r="G1" s="1"/>
      <c r="H1" s="1"/>
    </row>
    <row r="2" spans="2:8" ht="12.75" customHeight="1">
      <c r="B2" s="1" t="str">
        <f>+Balance!B2</f>
        <v>COMISION DE REGULACION DE COMUNICACIONES</v>
      </c>
      <c r="C2" s="1"/>
      <c r="D2" s="1"/>
      <c r="E2" s="1"/>
      <c r="F2" s="1"/>
      <c r="G2" s="1"/>
      <c r="H2" s="1"/>
    </row>
    <row r="3" spans="2:8" ht="12.75" customHeight="1">
      <c r="B3" s="1" t="str">
        <f>+Balance!B3</f>
        <v>OPERADOR POSTAL</v>
      </c>
      <c r="C3" s="1"/>
      <c r="D3" s="1"/>
      <c r="E3" s="1"/>
      <c r="F3" s="1"/>
      <c r="G3" s="1"/>
      <c r="H3" s="1"/>
    </row>
    <row r="4" spans="2:4" ht="12.75" customHeight="1">
      <c r="B4" s="1" t="s">
        <v>65</v>
      </c>
      <c r="C4" s="1"/>
      <c r="D4" s="1"/>
    </row>
    <row r="5" spans="2:4" ht="15.75">
      <c r="B5" s="16" t="s">
        <v>66</v>
      </c>
      <c r="C5" s="16"/>
      <c r="D5" s="1"/>
    </row>
    <row r="6" spans="2:8" ht="4.5" customHeight="1">
      <c r="B6" s="1"/>
      <c r="C6" s="1"/>
      <c r="D6" s="1"/>
      <c r="E6" s="1"/>
      <c r="F6" s="1"/>
      <c r="G6" s="1"/>
      <c r="H6" s="1"/>
    </row>
    <row r="7" spans="2:13" ht="15.75">
      <c r="B7" s="50" t="s">
        <v>123</v>
      </c>
      <c r="C7" s="43">
        <f>+D7-1</f>
        <v>2009</v>
      </c>
      <c r="D7" s="43">
        <f>+'[1]Financieros'!D7</f>
        <v>2010</v>
      </c>
      <c r="E7" s="43">
        <f>+'[1]Financieros'!E7</f>
        <v>2011</v>
      </c>
      <c r="F7" s="43">
        <f>+'[1]Financieros'!F7</f>
        <v>2012</v>
      </c>
      <c r="G7" s="43">
        <f>+'[1]Financieros'!G7</f>
        <v>2013</v>
      </c>
      <c r="H7" s="43">
        <f>+'[1]Financieros'!H7</f>
        <v>2014</v>
      </c>
      <c r="I7" s="43">
        <f>+'[1]Financieros'!I7</f>
        <v>2015</v>
      </c>
      <c r="J7" s="43">
        <f>+'[1]Financieros'!J7</f>
        <v>2016</v>
      </c>
      <c r="K7" s="43">
        <f>+'[1]Financieros'!K7</f>
        <v>2017</v>
      </c>
      <c r="L7" s="43">
        <f>+'[1]Financieros'!L7</f>
        <v>2018</v>
      </c>
      <c r="M7" s="43">
        <f>+'[1]Financieros'!M7</f>
        <v>2019</v>
      </c>
    </row>
    <row r="8" spans="2:30" ht="15.75">
      <c r="B8" s="45" t="s">
        <v>124</v>
      </c>
      <c r="C8" s="55"/>
      <c r="D8" s="55">
        <f>SUM(D9:D11)</f>
        <v>44449.65851857987</v>
      </c>
      <c r="E8" s="55">
        <f aca="true" t="shared" si="0" ref="E8:M8">SUM(E9:E11)</f>
        <v>47366.85077461957</v>
      </c>
      <c r="F8" s="55">
        <f t="shared" si="0"/>
        <v>50478.88534051669</v>
      </c>
      <c r="G8" s="55">
        <f t="shared" si="0"/>
        <v>53798.805916931706</v>
      </c>
      <c r="H8" s="55">
        <f t="shared" si="0"/>
        <v>57340.52980137811</v>
      </c>
      <c r="I8" s="55">
        <f t="shared" si="0"/>
        <v>59605.561738604236</v>
      </c>
      <c r="J8" s="55">
        <f t="shared" si="0"/>
        <v>61961.50141300083</v>
      </c>
      <c r="K8" s="55">
        <f t="shared" si="0"/>
        <v>64412.002059231054</v>
      </c>
      <c r="L8" s="55">
        <f t="shared" si="0"/>
        <v>66960.8637588355</v>
      </c>
      <c r="M8" s="55">
        <f t="shared" si="0"/>
        <v>69612.03934349187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13" ht="15.75">
      <c r="B9" s="20" t="s">
        <v>258</v>
      </c>
      <c r="C9" s="24"/>
      <c r="D9" s="24">
        <f>+'P y G'!C11</f>
        <v>43366.28660231339</v>
      </c>
      <c r="E9" s="24">
        <f>+'P y G'!D11</f>
        <v>46271.44783629142</v>
      </c>
      <c r="F9" s="24">
        <f>+'P y G'!E11</f>
        <v>49371.22941839397</v>
      </c>
      <c r="G9" s="24">
        <f>+'P y G'!F11</f>
        <v>52678.66920671337</v>
      </c>
      <c r="H9" s="24">
        <f>+'P y G'!G11</f>
        <v>56207.67848159865</v>
      </c>
      <c r="I9" s="24">
        <f>+'P y G'!H11</f>
        <v>58467.37903255257</v>
      </c>
      <c r="J9" s="24">
        <f>+'P y G'!I11</f>
        <v>60817.92565148017</v>
      </c>
      <c r="K9" s="24">
        <f>+'P y G'!J11</f>
        <v>63262.97059578464</v>
      </c>
      <c r="L9" s="24">
        <f>+'P y G'!K11</f>
        <v>65806.31295348541</v>
      </c>
      <c r="M9" s="24">
        <f>+'P y G'!L11</f>
        <v>68451.9045462056</v>
      </c>
    </row>
    <row r="10" spans="2:13" ht="15.75">
      <c r="B10" s="20" t="s">
        <v>186</v>
      </c>
      <c r="C10" s="24"/>
      <c r="D10" s="24">
        <f>+'P y G'!C12</f>
        <v>1083.3719162664759</v>
      </c>
      <c r="E10" s="24">
        <f>+'P y G'!D12</f>
        <v>1095.4029383281436</v>
      </c>
      <c r="F10" s="24">
        <f>+'P y G'!E12</f>
        <v>1107.655922122723</v>
      </c>
      <c r="G10" s="24">
        <f>+'P y G'!F12</f>
        <v>1120.1367102183333</v>
      </c>
      <c r="H10" s="24">
        <f>+'P y G'!G12</f>
        <v>1132.8513197794616</v>
      </c>
      <c r="I10" s="24">
        <f>+'P y G'!H12</f>
        <v>1138.1827060516662</v>
      </c>
      <c r="J10" s="24">
        <f>+'P y G'!I12</f>
        <v>1143.5757615206617</v>
      </c>
      <c r="K10" s="24">
        <f>+'P y G'!J12</f>
        <v>1149.0314634464178</v>
      </c>
      <c r="L10" s="24">
        <f>+'P y G'!K12</f>
        <v>1154.550805350092</v>
      </c>
      <c r="M10" s="24">
        <f>+'P y G'!L12</f>
        <v>1160.1347972862723</v>
      </c>
    </row>
    <row r="11" spans="2:13" ht="15.75">
      <c r="B11" s="26"/>
      <c r="C11" s="24"/>
      <c r="D11" s="24">
        <f>+'P y G'!C13</f>
        <v>0</v>
      </c>
      <c r="E11" s="24">
        <f>+'P y G'!D13</f>
        <v>0</v>
      </c>
      <c r="F11" s="24">
        <f>+'P y G'!E13</f>
        <v>0</v>
      </c>
      <c r="G11" s="24">
        <f>+'P y G'!F13</f>
        <v>0</v>
      </c>
      <c r="H11" s="24">
        <f>+'P y G'!G13</f>
        <v>0</v>
      </c>
      <c r="I11" s="24">
        <f>+'P y G'!H13</f>
        <v>0</v>
      </c>
      <c r="J11" s="24">
        <f>+'P y G'!I13</f>
        <v>0</v>
      </c>
      <c r="K11" s="24">
        <f>+'P y G'!J13</f>
        <v>0</v>
      </c>
      <c r="L11" s="24">
        <f>+'P y G'!K13</f>
        <v>0</v>
      </c>
      <c r="M11" s="24">
        <f>+'P y G'!L13</f>
        <v>0</v>
      </c>
    </row>
    <row r="12" spans="2:19" ht="15.75">
      <c r="B12" s="65" t="s">
        <v>125</v>
      </c>
      <c r="C12" s="66"/>
      <c r="D12" s="66">
        <f>SUM(D13:D27)</f>
        <v>41246.90240001221</v>
      </c>
      <c r="E12" s="66">
        <f aca="true" t="shared" si="1" ref="E12:M12">SUM(E13:E27)</f>
        <v>43611.73174514019</v>
      </c>
      <c r="F12" s="66">
        <f t="shared" si="1"/>
        <v>46135.521017717074</v>
      </c>
      <c r="G12" s="66">
        <f t="shared" si="1"/>
        <v>48826.66011960411</v>
      </c>
      <c r="H12" s="66">
        <f t="shared" si="1"/>
        <v>51553.976895766486</v>
      </c>
      <c r="I12" s="66">
        <f t="shared" si="1"/>
        <v>54198.24451885928</v>
      </c>
      <c r="J12" s="66">
        <f t="shared" si="1"/>
        <v>56858.343620852414</v>
      </c>
      <c r="K12" s="66">
        <f t="shared" si="1"/>
        <v>59653.43963551707</v>
      </c>
      <c r="L12" s="66">
        <f t="shared" si="1"/>
        <v>62589.954761095934</v>
      </c>
      <c r="M12" s="66">
        <f t="shared" si="1"/>
        <v>65665.01011473805</v>
      </c>
      <c r="N12" s="10"/>
      <c r="O12" s="10"/>
      <c r="P12" s="10"/>
      <c r="Q12" s="10"/>
      <c r="R12" s="10"/>
      <c r="S12" s="10"/>
    </row>
    <row r="13" spans="2:13" ht="15.75">
      <c r="B13" s="140" t="s">
        <v>187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2:13" ht="15.75">
      <c r="B14" s="139" t="s">
        <v>188</v>
      </c>
      <c r="C14" s="24"/>
      <c r="D14" s="24">
        <f>+'P y G'!C17</f>
        <v>6097.79664</v>
      </c>
      <c r="E14" s="24">
        <f>+'P y G'!D17</f>
        <v>6463.372642721504</v>
      </c>
      <c r="F14" s="24">
        <f>+'P y G'!E17</f>
        <v>6850.871516495941</v>
      </c>
      <c r="G14" s="24">
        <f>+'P y G'!F17</f>
        <v>7261.60816524485</v>
      </c>
      <c r="H14" s="24">
        <f>+'P y G'!G17</f>
        <v>7696.976368356462</v>
      </c>
      <c r="I14" s="24">
        <f>+'P y G'!H17</f>
        <v>8158.453508800213</v>
      </c>
      <c r="J14" s="24">
        <f>+'P y G'!I17</f>
        <v>8647.605599323719</v>
      </c>
      <c r="K14" s="24">
        <f>+'P y G'!J17</f>
        <v>9166.092588866828</v>
      </c>
      <c r="L14" s="24">
        <f>+'P y G'!K17</f>
        <v>9715.67400134128</v>
      </c>
      <c r="M14" s="24">
        <f>+'P y G'!L17</f>
        <v>10298.21490924851</v>
      </c>
    </row>
    <row r="15" spans="2:13" ht="15.75">
      <c r="B15" s="139" t="s">
        <v>189</v>
      </c>
      <c r="C15" s="24"/>
      <c r="D15" s="24">
        <f>+'P y G'!C18</f>
        <v>2604.9</v>
      </c>
      <c r="E15" s="24">
        <f>+'P y G'!D18</f>
        <v>2604.9</v>
      </c>
      <c r="F15" s="24">
        <f>+'P y G'!E18</f>
        <v>2604.9</v>
      </c>
      <c r="G15" s="24">
        <f>+'P y G'!F18</f>
        <v>2604.9</v>
      </c>
      <c r="H15" s="24">
        <f>+'P y G'!G18</f>
        <v>2604.9</v>
      </c>
      <c r="I15" s="24">
        <f>+'P y G'!H18</f>
        <v>2604.9</v>
      </c>
      <c r="J15" s="24">
        <f>+'P y G'!I18</f>
        <v>2604.9</v>
      </c>
      <c r="K15" s="24">
        <f>+'P y G'!J18</f>
        <v>2604.9</v>
      </c>
      <c r="L15" s="24">
        <f>+'P y G'!K18</f>
        <v>2604.9</v>
      </c>
      <c r="M15" s="24">
        <f>+'P y G'!L18</f>
        <v>2604.9</v>
      </c>
    </row>
    <row r="16" spans="2:13" ht="15.75">
      <c r="B16" s="140" t="s">
        <v>190</v>
      </c>
      <c r="C16" s="24"/>
      <c r="D16" s="24">
        <f>+'P y G'!C19</f>
        <v>0</v>
      </c>
      <c r="E16" s="24">
        <f>+'P y G'!D19</f>
        <v>0</v>
      </c>
      <c r="F16" s="24">
        <f>+'P y G'!E19</f>
        <v>0</v>
      </c>
      <c r="G16" s="24">
        <f>+'P y G'!F19</f>
        <v>0</v>
      </c>
      <c r="H16" s="24">
        <f>+'P y G'!G19</f>
        <v>0</v>
      </c>
      <c r="I16" s="24">
        <f>+'P y G'!H19</f>
        <v>0</v>
      </c>
      <c r="J16" s="24">
        <f>+'P y G'!I19</f>
        <v>0</v>
      </c>
      <c r="K16" s="24">
        <f>+'P y G'!J19</f>
        <v>0</v>
      </c>
      <c r="L16" s="24">
        <f>+'P y G'!K19</f>
        <v>0</v>
      </c>
      <c r="M16" s="24">
        <f>+'P y G'!L19</f>
        <v>0</v>
      </c>
    </row>
    <row r="17" spans="2:13" ht="15.75">
      <c r="B17" s="139" t="s">
        <v>188</v>
      </c>
      <c r="C17" s="24"/>
      <c r="D17" s="24">
        <f>+'P y G'!C20</f>
        <v>1474.6877054053693</v>
      </c>
      <c r="E17" s="24">
        <f>+'P y G'!D20</f>
        <v>1546.6886338709214</v>
      </c>
      <c r="F17" s="24">
        <f>+'P y G'!E20</f>
        <v>1622.7964125360986</v>
      </c>
      <c r="G17" s="24">
        <f>+'P y G'!F20</f>
        <v>1703.2457834392476</v>
      </c>
      <c r="H17" s="24">
        <f>+'P y G'!G20</f>
        <v>1788.2849293596496</v>
      </c>
      <c r="I17" s="24">
        <f>+'P y G'!H20</f>
        <v>1878.1762437729035</v>
      </c>
      <c r="J17" s="24">
        <f>+'P y G'!I20</f>
        <v>1973.197148009071</v>
      </c>
      <c r="K17" s="24">
        <f>+'P y G'!J20</f>
        <v>2073.640950899389</v>
      </c>
      <c r="L17" s="24">
        <f>+'P y G'!K20</f>
        <v>2179.817760701336</v>
      </c>
      <c r="M17" s="24">
        <f>+'P y G'!L20</f>
        <v>2292.0554486727724</v>
      </c>
    </row>
    <row r="18" spans="2:13" ht="15.75">
      <c r="B18" s="139" t="s">
        <v>189</v>
      </c>
      <c r="C18" s="24"/>
      <c r="D18" s="24">
        <f>+'P y G'!C21</f>
        <v>0</v>
      </c>
      <c r="E18" s="24">
        <f>+'P y G'!D21</f>
        <v>0</v>
      </c>
      <c r="F18" s="24">
        <f>+'P y G'!E21</f>
        <v>0</v>
      </c>
      <c r="G18" s="24">
        <f>+'P y G'!F21</f>
        <v>0</v>
      </c>
      <c r="H18" s="24">
        <f>+'P y G'!G21</f>
        <v>0</v>
      </c>
      <c r="I18" s="24">
        <f>+'P y G'!H21</f>
        <v>0</v>
      </c>
      <c r="J18" s="24">
        <f>+'P y G'!I21</f>
        <v>0</v>
      </c>
      <c r="K18" s="24">
        <f>+'P y G'!J21</f>
        <v>0</v>
      </c>
      <c r="L18" s="24">
        <f>+'P y G'!K21</f>
        <v>0</v>
      </c>
      <c r="M18" s="24">
        <f>+'P y G'!L21</f>
        <v>0</v>
      </c>
    </row>
    <row r="19" spans="2:13" ht="15.75">
      <c r="B19" s="140" t="s">
        <v>191</v>
      </c>
      <c r="C19" s="24"/>
      <c r="D19" s="24">
        <f>+'P y G'!C22</f>
        <v>0</v>
      </c>
      <c r="E19" s="24">
        <f>+'P y G'!D22</f>
        <v>0</v>
      </c>
      <c r="F19" s="24">
        <f>+'P y G'!E22</f>
        <v>0</v>
      </c>
      <c r="G19" s="24">
        <f>+'P y G'!F22</f>
        <v>0</v>
      </c>
      <c r="H19" s="24">
        <f>+'P y G'!G22</f>
        <v>0</v>
      </c>
      <c r="I19" s="24">
        <f>+'P y G'!H22</f>
        <v>0</v>
      </c>
      <c r="J19" s="24">
        <f>+'P y G'!I22</f>
        <v>0</v>
      </c>
      <c r="K19" s="24">
        <f>+'P y G'!J22</f>
        <v>0</v>
      </c>
      <c r="L19" s="24">
        <f>+'P y G'!K22</f>
        <v>0</v>
      </c>
      <c r="M19" s="24">
        <f>+'P y G'!L22</f>
        <v>0</v>
      </c>
    </row>
    <row r="20" spans="2:13" ht="15.75">
      <c r="B20" s="139" t="s">
        <v>188</v>
      </c>
      <c r="C20" s="24"/>
      <c r="D20" s="24">
        <f>+'P y G'!C23</f>
        <v>7211.706517100225</v>
      </c>
      <c r="E20" s="24">
        <f>+'P y G'!D23</f>
        <v>7634.412213199043</v>
      </c>
      <c r="F20" s="24">
        <f>+'P y G'!E23</f>
        <v>8081.8882372846965</v>
      </c>
      <c r="G20" s="24">
        <f>+'P y G'!F23</f>
        <v>8555.585591050713</v>
      </c>
      <c r="H20" s="24">
        <f>+'P y G'!G23</f>
        <v>9057.040234980708</v>
      </c>
      <c r="I20" s="24">
        <f>+'P y G'!H23</f>
        <v>9587.878055951387</v>
      </c>
      <c r="J20" s="24">
        <f>+'P y G'!I23</f>
        <v>10149.820142336937</v>
      </c>
      <c r="K20" s="24">
        <f>+'P y G'!J23</f>
        <v>10744.688342556916</v>
      </c>
      <c r="L20" s="24">
        <f>+'P y G'!K23</f>
        <v>11374.411165190151</v>
      </c>
      <c r="M20" s="24">
        <f>+'P y G'!L23</f>
        <v>12041.03002007157</v>
      </c>
    </row>
    <row r="21" spans="2:13" ht="15.75">
      <c r="B21" s="140" t="s">
        <v>192</v>
      </c>
      <c r="C21" s="24"/>
      <c r="D21" s="24">
        <f>+'P y G'!C24</f>
        <v>0</v>
      </c>
      <c r="E21" s="24">
        <f>+'P y G'!D24</f>
        <v>0</v>
      </c>
      <c r="F21" s="24">
        <f>+'P y G'!E24</f>
        <v>0</v>
      </c>
      <c r="G21" s="24">
        <f>+'P y G'!F24</f>
        <v>0</v>
      </c>
      <c r="H21" s="24">
        <f>+'P y G'!G24</f>
        <v>0</v>
      </c>
      <c r="I21" s="24">
        <f>+'P y G'!H24</f>
        <v>0</v>
      </c>
      <c r="J21" s="24">
        <f>+'P y G'!I24</f>
        <v>0</v>
      </c>
      <c r="K21" s="24">
        <f>+'P y G'!J24</f>
        <v>0</v>
      </c>
      <c r="L21" s="24">
        <f>+'P y G'!K24</f>
        <v>0</v>
      </c>
      <c r="M21" s="24">
        <f>+'P y G'!L24</f>
        <v>0</v>
      </c>
    </row>
    <row r="22" spans="2:13" ht="15.75">
      <c r="B22" s="139" t="s">
        <v>193</v>
      </c>
      <c r="C22" s="24"/>
      <c r="D22" s="24">
        <f>+'P y G'!C25</f>
        <v>1664.6908974157955</v>
      </c>
      <c r="E22" s="24">
        <f>+'P y G'!D25</f>
        <v>1764.1065900773588</v>
      </c>
      <c r="F22" s="24">
        <f>+'P y G'!E25</f>
        <v>1869.4685662176862</v>
      </c>
      <c r="G22" s="24">
        <f>+'P y G'!F25</f>
        <v>1981.1328552788964</v>
      </c>
      <c r="H22" s="24">
        <f>+'P y G'!G25</f>
        <v>2099.4768185110274</v>
      </c>
      <c r="I22" s="24">
        <f>+'P y G'!H25</f>
        <v>2224.900426662517</v>
      </c>
      <c r="J22" s="24">
        <f>+'P y G'!I25</f>
        <v>2357.827618292695</v>
      </c>
      <c r="K22" s="24">
        <f>+'P y G'!J25</f>
        <v>2498.707733606011</v>
      </c>
      <c r="L22" s="24">
        <f>+'P y G'!K25</f>
        <v>2648.017038160228</v>
      </c>
      <c r="M22" s="24">
        <f>+'P y G'!L25</f>
        <v>2806.26033698226</v>
      </c>
    </row>
    <row r="23" spans="2:13" ht="15.75">
      <c r="B23" s="140" t="s">
        <v>194</v>
      </c>
      <c r="C23" s="24"/>
      <c r="D23" s="24">
        <f>+'P y G'!C26</f>
        <v>0</v>
      </c>
      <c r="E23" s="24">
        <f>+'P y G'!D26</f>
        <v>0</v>
      </c>
      <c r="F23" s="24">
        <f>+'P y G'!E26</f>
        <v>0</v>
      </c>
      <c r="G23" s="24">
        <f>+'P y G'!F26</f>
        <v>0</v>
      </c>
      <c r="H23" s="24">
        <f>+'P y G'!G26</f>
        <v>0</v>
      </c>
      <c r="I23" s="24">
        <f>+'P y G'!H26</f>
        <v>0</v>
      </c>
      <c r="J23" s="24">
        <f>+'P y G'!I26</f>
        <v>0</v>
      </c>
      <c r="K23" s="24">
        <f>+'P y G'!J26</f>
        <v>0</v>
      </c>
      <c r="L23" s="24">
        <f>+'P y G'!K26</f>
        <v>0</v>
      </c>
      <c r="M23" s="24">
        <f>+'P y G'!L26</f>
        <v>0</v>
      </c>
    </row>
    <row r="24" spans="2:13" ht="15.75">
      <c r="B24" s="139" t="s">
        <v>195</v>
      </c>
      <c r="C24" s="24"/>
      <c r="D24" s="24">
        <f>+'P y G'!C27</f>
        <v>16782.99539656352</v>
      </c>
      <c r="E24" s="24">
        <f>+'P y G'!D27</f>
        <v>17766.710933920167</v>
      </c>
      <c r="F24" s="24">
        <f>+'P y G'!E27</f>
        <v>18808.071676276304</v>
      </c>
      <c r="G24" s="24">
        <f>+'P y G'!F27</f>
        <v>19910.4543770654</v>
      </c>
      <c r="H24" s="24">
        <f>+'P y G'!G27</f>
        <v>21077.433504780456</v>
      </c>
      <c r="I24" s="24">
        <f>+'P y G'!H27</f>
        <v>22312.792803518936</v>
      </c>
      <c r="J24" s="24">
        <f>+'P y G'!I27</f>
        <v>23620.537569141507</v>
      </c>
      <c r="K24" s="24">
        <f>+'P y G'!J27</f>
        <v>25004.90758505673</v>
      </c>
      <c r="L24" s="24">
        <f>+'P y G'!K27</f>
        <v>26470.390852894165</v>
      </c>
      <c r="M24" s="24">
        <f>+'P y G'!L27</f>
        <v>28021.738116708755</v>
      </c>
    </row>
    <row r="25" spans="2:13" ht="15.75">
      <c r="B25" s="20" t="s">
        <v>243</v>
      </c>
      <c r="C25" s="24"/>
      <c r="D25" s="24">
        <f>+'P y G'!C38</f>
        <v>2986.8</v>
      </c>
      <c r="E25" s="24">
        <f>+'P y G'!D38</f>
        <v>2986.8</v>
      </c>
      <c r="F25" s="24">
        <f>+'P y G'!E38</f>
        <v>2986.8</v>
      </c>
      <c r="G25" s="24">
        <f>+'P y G'!F38</f>
        <v>2986.8</v>
      </c>
      <c r="H25" s="24">
        <f>+'P y G'!G38</f>
        <v>2986.8</v>
      </c>
      <c r="I25" s="24">
        <f>+'P y G'!H38</f>
        <v>2986.8</v>
      </c>
      <c r="J25" s="24">
        <f>+'P y G'!I38</f>
        <v>2986.8</v>
      </c>
      <c r="K25" s="24">
        <f>+'P y G'!J38</f>
        <v>2986.8</v>
      </c>
      <c r="L25" s="24">
        <f>+'P y G'!K38</f>
        <v>2986.8</v>
      </c>
      <c r="M25" s="24">
        <f>+'P y G'!L38</f>
        <v>2986.8</v>
      </c>
    </row>
    <row r="26" spans="2:13" ht="15.75">
      <c r="B26" s="20" t="s">
        <v>245</v>
      </c>
      <c r="C26" s="24"/>
      <c r="D26" s="24">
        <f>+'P y G'!C33</f>
        <v>1022.342145927337</v>
      </c>
      <c r="E26" s="24">
        <f>+'P y G'!D33</f>
        <v>1089.43756781625</v>
      </c>
      <c r="F26" s="24">
        <f>+'P y G'!E33</f>
        <v>1161.0143628318838</v>
      </c>
      <c r="G26" s="24">
        <f>+'P y G'!F33</f>
        <v>1237.372536089429</v>
      </c>
      <c r="H26" s="24">
        <f>+'P y G'!G33</f>
        <v>1318.8321854316964</v>
      </c>
      <c r="I26" s="24">
        <f>+'P y G'!H33</f>
        <v>1370.9279199878974</v>
      </c>
      <c r="J26" s="24">
        <f>+'P y G'!I33</f>
        <v>1425.114532499019</v>
      </c>
      <c r="K26" s="24">
        <f>+'P y G'!J33</f>
        <v>1481.4760473623141</v>
      </c>
      <c r="L26" s="24">
        <f>+'P y G'!K33</f>
        <v>1540.0998664532167</v>
      </c>
      <c r="M26" s="24">
        <f>+'P y G'!L33</f>
        <v>1601.076904900313</v>
      </c>
    </row>
    <row r="27" spans="2:13" ht="15.75">
      <c r="B27" s="170" t="s">
        <v>244</v>
      </c>
      <c r="C27" s="24"/>
      <c r="D27" s="24">
        <f>+'P y G'!C48</f>
        <v>1400.9830975999548</v>
      </c>
      <c r="E27" s="24">
        <f>+'P y G'!D48</f>
        <v>1755.3031635349555</v>
      </c>
      <c r="F27" s="24">
        <f>+'P y G'!E48</f>
        <v>2149.710246074519</v>
      </c>
      <c r="G27" s="24">
        <f>+'P y G'!F48</f>
        <v>2585.5608114359875</v>
      </c>
      <c r="H27" s="24">
        <f>+'P y G'!G48</f>
        <v>2924.232854347519</v>
      </c>
      <c r="I27" s="24">
        <f>+'P y G'!H48</f>
        <v>3073.4155601543425</v>
      </c>
      <c r="J27" s="24">
        <f>+'P y G'!I48</f>
        <v>3092.5410111477504</v>
      </c>
      <c r="K27" s="24">
        <f>+'P y G'!J48</f>
        <v>3092.2263866296867</v>
      </c>
      <c r="L27" s="24">
        <f>+'P y G'!K48</f>
        <v>3069.8440746001097</v>
      </c>
      <c r="M27" s="24">
        <f>+'P y G'!L48</f>
        <v>3012.934374590421</v>
      </c>
    </row>
    <row r="28" spans="2:17" ht="15.75">
      <c r="B28" s="47" t="s">
        <v>68</v>
      </c>
      <c r="C28" s="47"/>
      <c r="D28" s="82">
        <f aca="true" t="shared" si="2" ref="D28:M28">+D8-D12</f>
        <v>3202.7561185676605</v>
      </c>
      <c r="E28" s="82">
        <f t="shared" si="2"/>
        <v>3755.119029479378</v>
      </c>
      <c r="F28" s="82">
        <f t="shared" si="2"/>
        <v>4343.3643227996145</v>
      </c>
      <c r="G28" s="82">
        <f t="shared" si="2"/>
        <v>4972.145797327597</v>
      </c>
      <c r="H28" s="82">
        <f t="shared" si="2"/>
        <v>5786.552905611621</v>
      </c>
      <c r="I28" s="82">
        <f t="shared" si="2"/>
        <v>5407.317219744953</v>
      </c>
      <c r="J28" s="82">
        <f t="shared" si="2"/>
        <v>5103.157792148413</v>
      </c>
      <c r="K28" s="82">
        <f t="shared" si="2"/>
        <v>4758.5624237139855</v>
      </c>
      <c r="L28" s="82">
        <f t="shared" si="2"/>
        <v>4370.908997739571</v>
      </c>
      <c r="M28" s="82">
        <f t="shared" si="2"/>
        <v>3947.0292287538177</v>
      </c>
      <c r="N28" s="5"/>
      <c r="O28" s="5"/>
      <c r="P28" s="5"/>
      <c r="Q28" s="5"/>
    </row>
    <row r="29" spans="2:17" ht="15.75">
      <c r="B29" s="27" t="s">
        <v>126</v>
      </c>
      <c r="C29" s="27">
        <f>+Balance!C50</f>
        <v>5579.748346189039</v>
      </c>
      <c r="D29" s="27">
        <f>+Balance!D50</f>
        <v>149.84507684922573</v>
      </c>
      <c r="E29" s="27">
        <f>+Balance!E50</f>
        <v>401.84931920004874</v>
      </c>
      <c r="F29" s="27">
        <f>+Balance!F50</f>
        <v>429.8654940484603</v>
      </c>
      <c r="G29" s="27">
        <f>+Balance!G50</f>
        <v>459.2616787915322</v>
      </c>
      <c r="H29" s="27">
        <f>+Balance!H50</f>
        <v>474.7166503853832</v>
      </c>
      <c r="I29" s="27">
        <f>+Balance!I50</f>
        <v>289.91900476714636</v>
      </c>
      <c r="J29" s="27">
        <f>+Balance!J50</f>
        <v>282.56572371429684</v>
      </c>
      <c r="K29" s="27">
        <f>+Balance!K50</f>
        <v>291.88867248367933</v>
      </c>
      <c r="L29" s="27">
        <f>+Balance!L50</f>
        <v>301.46778058395284</v>
      </c>
      <c r="M29" s="27">
        <f>+Balance!M50</f>
        <v>312.826375483477</v>
      </c>
      <c r="N29" s="5"/>
      <c r="O29" s="5"/>
      <c r="P29" s="5"/>
      <c r="Q29" s="5"/>
    </row>
    <row r="30" spans="2:17" ht="15.75">
      <c r="B30" s="28" t="s">
        <v>54</v>
      </c>
      <c r="C30" s="29">
        <f>+Balance!C15+Balance!C18+Balance!C21</f>
        <v>2224.1879800071774</v>
      </c>
      <c r="D30" s="29">
        <f>+'Reposiciones Activos'!C83</f>
        <v>-0.20030314232297142</v>
      </c>
      <c r="E30" s="29">
        <f>+'Reposiciones Activos'!D83</f>
        <v>3.605304726208496</v>
      </c>
      <c r="F30" s="29">
        <f>+'Reposiciones Activos'!E83</f>
        <v>3.81094716374482</v>
      </c>
      <c r="G30" s="29">
        <f>+'Reposiciones Activos'!F83</f>
        <v>4.028343846654562</v>
      </c>
      <c r="H30" s="29">
        <f>+'Reposiciones Activos'!G83</f>
        <v>1735.8581677935756</v>
      </c>
      <c r="I30" s="29">
        <f>+'Reposiciones Activos'!H83</f>
        <v>4.501130577145958</v>
      </c>
      <c r="J30" s="29">
        <f>+'Reposiciones Activos'!I83</f>
        <v>4.75798468758858</v>
      </c>
      <c r="K30" s="29">
        <f>+'Reposiciones Activos'!J83</f>
        <v>5.029525660242994</v>
      </c>
      <c r="L30" s="29">
        <f>+'Reposiciones Activos'!K83</f>
        <v>5.316594693300981</v>
      </c>
      <c r="M30" s="29">
        <f>+'Reposiciones Activos'!L83</f>
        <v>2229.8080612412095</v>
      </c>
      <c r="N30" s="5"/>
      <c r="O30" s="5"/>
      <c r="P30" s="5"/>
      <c r="Q30" s="5"/>
    </row>
    <row r="31" spans="2:17" ht="15.75">
      <c r="B31" s="28" t="s">
        <v>127</v>
      </c>
      <c r="C31" s="169">
        <f>+Balance!C24</f>
        <v>182.4</v>
      </c>
      <c r="D31" s="27">
        <f>+'Reposiciones Software'!C43</f>
        <v>0</v>
      </c>
      <c r="E31" s="27">
        <f>+'Reposiciones Software'!D43</f>
        <v>0</v>
      </c>
      <c r="F31" s="27">
        <f>+'Reposiciones Software'!E43</f>
        <v>0</v>
      </c>
      <c r="G31" s="27">
        <f>+'Reposiciones Software'!F43</f>
        <v>0</v>
      </c>
      <c r="H31" s="27">
        <f>+'Reposiciones Software'!G43</f>
        <v>182.4</v>
      </c>
      <c r="I31" s="27">
        <f>+'Reposiciones Software'!H43</f>
        <v>0</v>
      </c>
      <c r="J31" s="27">
        <f>+'Reposiciones Software'!I43</f>
        <v>0</v>
      </c>
      <c r="K31" s="27">
        <f>+'Reposiciones Software'!J43</f>
        <v>0</v>
      </c>
      <c r="L31" s="27">
        <f>+'Reposiciones Software'!K43</f>
        <v>0</v>
      </c>
      <c r="M31" s="27">
        <f>+'Reposiciones Software'!L43</f>
        <v>182.4</v>
      </c>
      <c r="N31" s="5"/>
      <c r="O31" s="5"/>
      <c r="P31" s="5"/>
      <c r="Q31" s="5"/>
    </row>
    <row r="32" spans="2:17" ht="15.75">
      <c r="B32" s="28" t="s">
        <v>41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"/>
      <c r="O32" s="5"/>
      <c r="P32" s="5"/>
      <c r="Q32" s="5"/>
    </row>
    <row r="33" spans="2:17" ht="15.75">
      <c r="B33" s="45" t="s">
        <v>90</v>
      </c>
      <c r="C33" s="55">
        <f>+C28-C29-C30-C31+C32</f>
        <v>-7986.336326196216</v>
      </c>
      <c r="D33" s="55">
        <f>+D28-D29-D30-D31+D32</f>
        <v>3053.1113448607575</v>
      </c>
      <c r="E33" s="55">
        <f>+E28-E29-E30-E31+E32</f>
        <v>3349.6644055531206</v>
      </c>
      <c r="F33" s="55">
        <f aca="true" t="shared" si="3" ref="F33:M33">+F28-F29-F30-F31+F32</f>
        <v>3909.6878815874093</v>
      </c>
      <c r="G33" s="55">
        <f t="shared" si="3"/>
        <v>4508.85577468941</v>
      </c>
      <c r="H33" s="55">
        <f t="shared" si="3"/>
        <v>3393.5780874326624</v>
      </c>
      <c r="I33" s="55">
        <f t="shared" si="3"/>
        <v>5112.897084400661</v>
      </c>
      <c r="J33" s="55">
        <f t="shared" si="3"/>
        <v>4815.8340837465275</v>
      </c>
      <c r="K33" s="55">
        <f t="shared" si="3"/>
        <v>4461.644225570063</v>
      </c>
      <c r="L33" s="55">
        <f t="shared" si="3"/>
        <v>4064.124622462317</v>
      </c>
      <c r="M33" s="55">
        <f t="shared" si="3"/>
        <v>1221.994792029131</v>
      </c>
      <c r="N33" s="5"/>
      <c r="O33" s="5"/>
      <c r="P33" s="5"/>
      <c r="Q33" s="5"/>
    </row>
    <row r="34" spans="2:8" ht="4.5" customHeight="1">
      <c r="B34" s="1"/>
      <c r="C34" s="1"/>
      <c r="D34" s="1"/>
      <c r="E34" s="1"/>
      <c r="F34" s="1"/>
      <c r="G34" s="1"/>
      <c r="H34" s="1"/>
    </row>
    <row r="35" spans="2:17" ht="15.75">
      <c r="B35" s="63" t="s">
        <v>42</v>
      </c>
      <c r="C35" s="63"/>
      <c r="D35" s="64">
        <f>+Balance!C12</f>
        <v>0</v>
      </c>
      <c r="E35" s="64">
        <f>+D41</f>
        <v>3137.1879827997996</v>
      </c>
      <c r="F35" s="64">
        <f aca="true" t="shared" si="4" ref="F35:M35">+E41</f>
        <v>6751.879394052564</v>
      </c>
      <c r="G35" s="64">
        <f t="shared" si="4"/>
        <v>11141.09909926089</v>
      </c>
      <c r="H35" s="64">
        <f t="shared" si="4"/>
        <v>16387.727424795103</v>
      </c>
      <c r="I35" s="64">
        <f t="shared" si="4"/>
        <v>20777.329025074432</v>
      </c>
      <c r="J35" s="64">
        <f t="shared" si="4"/>
        <v>27175.358125015282</v>
      </c>
      <c r="K35" s="64">
        <f t="shared" si="4"/>
        <v>33620.52178999746</v>
      </c>
      <c r="L35" s="64">
        <f t="shared" si="4"/>
        <v>40056.71598629553</v>
      </c>
      <c r="M35" s="64">
        <f t="shared" si="4"/>
        <v>46438.92375038535</v>
      </c>
      <c r="N35" s="5"/>
      <c r="O35" s="5"/>
      <c r="P35" s="5"/>
      <c r="Q35" s="5"/>
    </row>
    <row r="36" spans="2:17" ht="15.75">
      <c r="B36" s="30" t="s">
        <v>55</v>
      </c>
      <c r="C36" s="29">
        <f>+C33</f>
        <v>-7986.336326196216</v>
      </c>
      <c r="D36" s="29">
        <f>+D33</f>
        <v>3053.1113448607575</v>
      </c>
      <c r="E36" s="29">
        <f>+E33</f>
        <v>3349.6644055531206</v>
      </c>
      <c r="F36" s="29">
        <f aca="true" t="shared" si="5" ref="F36:M36">+F33</f>
        <v>3909.6878815874093</v>
      </c>
      <c r="G36" s="29">
        <f t="shared" si="5"/>
        <v>4508.85577468941</v>
      </c>
      <c r="H36" s="29">
        <f t="shared" si="5"/>
        <v>3393.5780874326624</v>
      </c>
      <c r="I36" s="29">
        <f t="shared" si="5"/>
        <v>5112.897084400661</v>
      </c>
      <c r="J36" s="29">
        <f t="shared" si="5"/>
        <v>4815.8340837465275</v>
      </c>
      <c r="K36" s="29">
        <f t="shared" si="5"/>
        <v>4461.644225570063</v>
      </c>
      <c r="L36" s="29">
        <f t="shared" si="5"/>
        <v>4064.124622462317</v>
      </c>
      <c r="M36" s="29">
        <f t="shared" si="5"/>
        <v>1221.994792029131</v>
      </c>
      <c r="N36" s="25"/>
      <c r="O36" s="25"/>
      <c r="P36" s="25"/>
      <c r="Q36" s="25"/>
    </row>
    <row r="37" spans="2:17" ht="15.75">
      <c r="B37" s="28" t="s">
        <v>43</v>
      </c>
      <c r="C37" s="28"/>
      <c r="D37" s="29">
        <f>+'P y G'!C45</f>
        <v>84.07663793903444</v>
      </c>
      <c r="E37" s="29">
        <f>+'P y G'!D45</f>
        <v>265.02700569964384</v>
      </c>
      <c r="F37" s="29">
        <f>+'P y G'!E45</f>
        <v>479.53182362080236</v>
      </c>
      <c r="G37" s="29">
        <f>+'P y G'!F45</f>
        <v>737.7725508446254</v>
      </c>
      <c r="H37" s="29">
        <f>+'P y G'!G45</f>
        <v>996.0235128557399</v>
      </c>
      <c r="I37" s="29">
        <f>+'P y G'!H45</f>
        <v>1285.1320156167872</v>
      </c>
      <c r="J37" s="29">
        <f>+'P y G'!I45</f>
        <v>1629.3295816986247</v>
      </c>
      <c r="K37" s="29">
        <f>+'P y G'!J45</f>
        <v>1974.5499723412668</v>
      </c>
      <c r="L37" s="29">
        <f>+'P y G'!K45</f>
        <v>2318.08314490533</v>
      </c>
      <c r="M37" s="29">
        <f>+'P y G'!L45</f>
        <v>2591.3232370902633</v>
      </c>
      <c r="N37" s="25"/>
      <c r="O37" s="25"/>
      <c r="P37" s="25"/>
      <c r="Q37" s="25"/>
    </row>
    <row r="38" spans="2:17" ht="15.75">
      <c r="B38" s="28" t="s">
        <v>44</v>
      </c>
      <c r="C38" s="28"/>
      <c r="D38" s="29">
        <f>+'P y G'!C46</f>
        <v>0</v>
      </c>
      <c r="E38" s="29">
        <f>+'P y G'!D46</f>
        <v>0</v>
      </c>
      <c r="F38" s="29">
        <f>+'P y G'!E46</f>
        <v>0</v>
      </c>
      <c r="G38" s="29">
        <f>+'P y G'!F46</f>
        <v>0</v>
      </c>
      <c r="H38" s="29">
        <f>+'P y G'!G46</f>
        <v>0</v>
      </c>
      <c r="I38" s="29">
        <f>+'P y G'!H46</f>
        <v>0</v>
      </c>
      <c r="J38" s="29">
        <f>+'P y G'!I46</f>
        <v>0</v>
      </c>
      <c r="K38" s="29">
        <f>+'P y G'!J46</f>
        <v>0</v>
      </c>
      <c r="L38" s="29">
        <f>+'P y G'!K46</f>
        <v>0</v>
      </c>
      <c r="M38" s="29">
        <f>+'P y G'!L46</f>
        <v>0</v>
      </c>
      <c r="N38" s="25"/>
      <c r="O38" s="25"/>
      <c r="P38" s="25"/>
      <c r="Q38" s="25"/>
    </row>
    <row r="39" spans="2:17" ht="15.75">
      <c r="B39" s="28" t="s">
        <v>45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5"/>
      <c r="O39" s="25"/>
      <c r="P39" s="25"/>
      <c r="Q39" s="25"/>
    </row>
    <row r="40" spans="2:53" ht="15.75">
      <c r="B40" s="28" t="s">
        <v>46</v>
      </c>
      <c r="C40" s="28"/>
      <c r="D40" s="29">
        <f>+'[1]Financieros'!D65</f>
        <v>0</v>
      </c>
      <c r="E40" s="29">
        <f>+'[1]Financieros'!E65</f>
        <v>0</v>
      </c>
      <c r="F40" s="29">
        <f>+'[1]Financieros'!F65</f>
        <v>0</v>
      </c>
      <c r="G40" s="29">
        <f>+'[1]Financieros'!G65</f>
        <v>0</v>
      </c>
      <c r="H40" s="29">
        <f>+'[1]Financieros'!H65</f>
        <v>0</v>
      </c>
      <c r="I40" s="29">
        <f>+'[1]Financieros'!I65</f>
        <v>0</v>
      </c>
      <c r="J40" s="29">
        <f>+'[1]Financieros'!J65</f>
        <v>0</v>
      </c>
      <c r="K40" s="29">
        <f>+'[1]Financieros'!K65</f>
        <v>0</v>
      </c>
      <c r="L40" s="29">
        <f>+'[1]Financieros'!L65</f>
        <v>0</v>
      </c>
      <c r="M40" s="29">
        <f>+'[1]Financieros'!M65</f>
        <v>0</v>
      </c>
      <c r="N40" s="25"/>
      <c r="O40" s="25"/>
      <c r="P40" s="25"/>
      <c r="Q40" s="25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2:17" ht="15.75">
      <c r="B41" s="50" t="s">
        <v>128</v>
      </c>
      <c r="C41" s="51">
        <f aca="true" t="shared" si="6" ref="C41:M41">+C35+C36+C37-C38+C39+C40</f>
        <v>-7986.336326196216</v>
      </c>
      <c r="D41" s="51">
        <f t="shared" si="6"/>
        <v>3137.187982799792</v>
      </c>
      <c r="E41" s="51">
        <f t="shared" si="6"/>
        <v>6751.879394052564</v>
      </c>
      <c r="F41" s="51">
        <f t="shared" si="6"/>
        <v>11141.099099260775</v>
      </c>
      <c r="G41" s="51">
        <f t="shared" si="6"/>
        <v>16387.727424794924</v>
      </c>
      <c r="H41" s="51">
        <f t="shared" si="6"/>
        <v>20777.329025083505</v>
      </c>
      <c r="I41" s="51">
        <f t="shared" si="6"/>
        <v>27175.35812509188</v>
      </c>
      <c r="J41" s="51">
        <f t="shared" si="6"/>
        <v>33620.521790460436</v>
      </c>
      <c r="K41" s="51">
        <f t="shared" si="6"/>
        <v>40056.715987908785</v>
      </c>
      <c r="L41" s="51">
        <f t="shared" si="6"/>
        <v>46438.92375366318</v>
      </c>
      <c r="M41" s="51">
        <f t="shared" si="6"/>
        <v>50252.241779504744</v>
      </c>
      <c r="N41" s="5"/>
      <c r="O41" s="5"/>
      <c r="P41" s="5"/>
      <c r="Q41" s="5"/>
    </row>
    <row r="42" spans="2:8" ht="4.5" customHeight="1">
      <c r="B42" s="1"/>
      <c r="C42" s="1"/>
      <c r="D42" s="1"/>
      <c r="E42" s="1"/>
      <c r="F42" s="1"/>
      <c r="G42" s="1"/>
      <c r="H42" s="1"/>
    </row>
    <row r="43" spans="2:17" ht="15.75">
      <c r="B43" s="31" t="s">
        <v>93</v>
      </c>
      <c r="C43" s="31"/>
      <c r="D43" s="27"/>
      <c r="E43" s="27"/>
      <c r="F43" s="27"/>
      <c r="G43" s="27"/>
      <c r="H43" s="27"/>
      <c r="I43" s="27"/>
      <c r="J43" s="27"/>
      <c r="K43" s="27"/>
      <c r="L43" s="27"/>
      <c r="M43" s="27">
        <f>+M33/'Costo de Capital'!F8</f>
        <v>13165.628396236663</v>
      </c>
      <c r="N43" s="5"/>
      <c r="O43" s="5"/>
      <c r="P43" s="5"/>
      <c r="Q43" s="5"/>
    </row>
    <row r="44" spans="2:17" ht="15.75">
      <c r="B44" s="31" t="s">
        <v>94</v>
      </c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>
        <f>+Balance!M40</f>
        <v>60732.40821978744</v>
      </c>
      <c r="N44" s="5"/>
      <c r="O44" s="5"/>
      <c r="P44" s="5"/>
      <c r="Q44" s="5"/>
    </row>
    <row r="45" spans="2:8" ht="4.5" customHeight="1">
      <c r="B45" s="1"/>
      <c r="C45" s="1"/>
      <c r="D45" s="1"/>
      <c r="E45" s="1"/>
      <c r="F45" s="1"/>
      <c r="G45" s="1"/>
      <c r="H45" s="1"/>
    </row>
    <row r="46" spans="2:17" ht="15.75">
      <c r="B46" s="168" t="s">
        <v>95</v>
      </c>
      <c r="C46" s="167"/>
      <c r="D46" s="167"/>
      <c r="E46" s="205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ht="15.75">
      <c r="B47" s="168" t="s">
        <v>96</v>
      </c>
      <c r="C47" s="167"/>
      <c r="D47" s="167"/>
      <c r="E47" s="20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ht="15.75">
      <c r="B48" s="168" t="s">
        <v>97</v>
      </c>
      <c r="C48" s="167"/>
      <c r="D48" s="167"/>
      <c r="E48" s="20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8" ht="4.5" customHeight="1">
      <c r="B49" s="1"/>
      <c r="C49" s="1"/>
      <c r="D49" s="1"/>
      <c r="E49" s="1"/>
      <c r="F49" s="1"/>
      <c r="G49" s="1"/>
      <c r="H49" s="1"/>
    </row>
    <row r="50" spans="2:17" ht="15.75">
      <c r="B50" s="68" t="s">
        <v>98</v>
      </c>
      <c r="C50" s="69">
        <f aca="true" t="shared" si="7" ref="C50:M50">IF($E$46=1,C33,IF($E$46=2,C33+C43,IF($E$46=3,C33+C44,0)))</f>
        <v>-7986.336326196216</v>
      </c>
      <c r="D50" s="69">
        <f t="shared" si="7"/>
        <v>3053.1113448607575</v>
      </c>
      <c r="E50" s="69">
        <f t="shared" si="7"/>
        <v>3349.6644055531206</v>
      </c>
      <c r="F50" s="69">
        <f t="shared" si="7"/>
        <v>3909.6878815874093</v>
      </c>
      <c r="G50" s="69">
        <f t="shared" si="7"/>
        <v>4508.85577468941</v>
      </c>
      <c r="H50" s="69">
        <f t="shared" si="7"/>
        <v>3393.5780874326624</v>
      </c>
      <c r="I50" s="69">
        <f t="shared" si="7"/>
        <v>5112.897084400661</v>
      </c>
      <c r="J50" s="69">
        <f t="shared" si="7"/>
        <v>4815.8340837465275</v>
      </c>
      <c r="K50" s="69">
        <f t="shared" si="7"/>
        <v>4461.644225570063</v>
      </c>
      <c r="L50" s="69">
        <f t="shared" si="7"/>
        <v>4064.124622462317</v>
      </c>
      <c r="M50" s="69">
        <f t="shared" si="7"/>
        <v>1221.994792029131</v>
      </c>
      <c r="N50" s="5"/>
      <c r="O50" s="5"/>
      <c r="P50" s="5"/>
      <c r="Q50" s="5"/>
    </row>
    <row r="51" spans="2:17" ht="15.75">
      <c r="B51" s="67" t="s">
        <v>91</v>
      </c>
      <c r="C51" s="78">
        <f>NPV('Costo de Capital'!F8,C50:M50)</f>
        <v>14696.362779153578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15.75">
      <c r="B52" s="67" t="s">
        <v>92</v>
      </c>
      <c r="C52" s="79">
        <f>IRR(C50:M50,0.05)</f>
        <v>0.44165601882615685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15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ht="15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5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5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ht="15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5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5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5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ht="15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5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5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5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5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5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5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5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5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15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15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5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5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5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5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15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5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ht="15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ht="15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ht="15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ht="15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ht="15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5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ht="15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ht="15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ht="15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ht="15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ht="15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15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ht="15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ht="15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15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15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15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15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15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15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5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5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5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5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5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5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5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5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15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15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15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15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15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ht="15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ht="15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15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15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15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15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ht="15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ht="15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ht="15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ht="15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ht="15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ht="15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ht="15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ht="15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ht="15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ht="15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ht="15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ht="15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ht="15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ht="15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ht="15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ht="15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ht="15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ht="15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ht="15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ht="15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ht="15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ht="15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ht="15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ht="15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ht="15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ht="15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ht="15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ht="15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ht="15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4:17" ht="15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4:17" ht="15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4:17" ht="15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4:17" ht="15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4:17" ht="15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4:17" ht="15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4:17" ht="15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4:17" ht="15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4:17" ht="15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4:17" ht="15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4:17" ht="15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4:17" ht="15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4:17" ht="15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4:17" ht="15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4:17" ht="15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4:17" ht="15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4:17" ht="15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4:17" ht="15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4:17" ht="15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4:17" ht="15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4:17" ht="15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4:17" ht="15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4:17" ht="15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4:17" ht="15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4:17" ht="15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4:17" ht="15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4:17" ht="15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4:17" ht="15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4:17" ht="15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4:17" ht="15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4:17" ht="15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4:17" ht="15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4:17" ht="15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4:17" ht="15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4:17" ht="15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4:17" ht="15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4:17" ht="15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4:17" ht="15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4:17" ht="15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4:17" ht="15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4:17" ht="15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4:17" ht="15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4:17" ht="15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4:17" ht="15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4:17" ht="15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4:17" ht="15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4:17" ht="15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4:17" ht="15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4:17" ht="15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4:17" ht="15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4:17" ht="15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4:17" ht="15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4:17" ht="15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4:17" ht="15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4:17" ht="15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4:17" ht="15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4:17" ht="15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4:17" ht="15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4:17" ht="15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4:17" ht="15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4:17" ht="15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4:17" ht="15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4:17" ht="15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4:17" ht="15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4:17" ht="15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4:17" ht="15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4:17" ht="15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4:17" ht="15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4:17" ht="15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4:17" ht="15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4:17" ht="15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4:17" ht="15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4:17" ht="15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4:17" ht="15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</sheetData>
  <sheetProtection/>
  <mergeCells count="1">
    <mergeCell ref="E46:E4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4.421875" style="32" customWidth="1"/>
    <col min="3" max="3" width="46.140625" style="32" customWidth="1"/>
    <col min="4" max="4" width="40.57421875" style="32" customWidth="1"/>
    <col min="5" max="5" width="45.8515625" style="32" customWidth="1"/>
    <col min="6" max="6" width="11.57421875" style="33" customWidth="1"/>
    <col min="7" max="16384" width="11.421875" style="33" customWidth="1"/>
  </cols>
  <sheetData>
    <row r="1" spans="2:6" s="2" customFormat="1" ht="4.5" customHeight="1">
      <c r="B1" s="1"/>
      <c r="C1" s="1"/>
      <c r="D1" s="1"/>
      <c r="E1" s="1"/>
      <c r="F1" s="1"/>
    </row>
    <row r="2" spans="2:6" s="2" customFormat="1" ht="13.5" customHeight="1">
      <c r="B2" s="1" t="str">
        <f>+Balance!B2</f>
        <v>COMISION DE REGULACION DE COMUNICACIONES</v>
      </c>
      <c r="C2" s="1"/>
      <c r="D2" s="1"/>
      <c r="E2" s="1"/>
      <c r="F2" s="1"/>
    </row>
    <row r="3" spans="2:6" s="2" customFormat="1" ht="13.5" customHeight="1">
      <c r="B3" s="1" t="str">
        <f>+Balance!B3</f>
        <v>OPERADOR POSTAL</v>
      </c>
      <c r="C3" s="1"/>
      <c r="D3" s="1"/>
      <c r="E3" s="1"/>
      <c r="F3" s="1"/>
    </row>
    <row r="4" spans="2:3" s="2" customFormat="1" ht="13.5" customHeight="1">
      <c r="B4" s="1" t="s">
        <v>129</v>
      </c>
      <c r="C4" s="1"/>
    </row>
    <row r="5" spans="2:3" s="2" customFormat="1" ht="15.75">
      <c r="B5" s="16" t="s">
        <v>105</v>
      </c>
      <c r="C5" s="1"/>
    </row>
    <row r="6" spans="2:6" s="2" customFormat="1" ht="4.5" customHeight="1">
      <c r="B6" s="1"/>
      <c r="C6" s="1"/>
      <c r="D6" s="1"/>
      <c r="E6" s="1"/>
      <c r="F6" s="1"/>
    </row>
    <row r="7" spans="2:6" s="2" customFormat="1" ht="15.75">
      <c r="B7" s="70" t="s">
        <v>60</v>
      </c>
      <c r="C7" s="70" t="s">
        <v>62</v>
      </c>
      <c r="D7" s="70" t="s">
        <v>172</v>
      </c>
      <c r="E7" s="70"/>
      <c r="F7" s="70" t="s">
        <v>61</v>
      </c>
    </row>
    <row r="8" spans="2:6" ht="15" customHeight="1">
      <c r="B8" s="210" t="s">
        <v>171</v>
      </c>
      <c r="C8" s="212" t="s">
        <v>170</v>
      </c>
      <c r="D8" s="207"/>
      <c r="E8" s="212" t="s">
        <v>152</v>
      </c>
      <c r="F8" s="215">
        <f>IF('[1]Tablero de Control'!$B$44='[1]Tablero de Control'!$S$58,F10*(F13/(F13+F14))+F12*(F14/(F13+F14)),IF('[1]Tablero de Control'!$B$44='[1]Tablero de Control'!$S$59,F10*(F13/(F13+F14))+F12*(F14/(F13+F14))+'[1]Tablero de Control'!$S$59,IF('[1]Tablero de Control'!$B$44='[1]Tablero de Control'!$S$60,F10*(F13/(F13+F14))+F12*(F14/(F13+F14))+'[1]Tablero de Control'!$S$60,IF('[1]Tablero de Control'!$B$44='[1]Tablero de Control'!$S$61,F10*(F13/(F13+F14))+F12*(F14/(F13+F14))+'[1]Tablero de Control'!$S$61,IF('[1]Tablero de Control'!$B$44='[1]Tablero de Control'!$S$62,F10*(F13/(F13+F14))+F12*(F14/(F13+F14))+'[1]Tablero de Control'!$S$62,0)))))</f>
        <v>0.09281705021983097</v>
      </c>
    </row>
    <row r="9" spans="2:6" ht="15" customHeight="1">
      <c r="B9" s="211"/>
      <c r="C9" s="213"/>
      <c r="D9" s="208"/>
      <c r="E9" s="213"/>
      <c r="F9" s="215"/>
    </row>
    <row r="10" spans="2:6" ht="15.75">
      <c r="B10" s="36" t="s">
        <v>169</v>
      </c>
      <c r="C10" s="73" t="s">
        <v>168</v>
      </c>
      <c r="D10" s="34"/>
      <c r="E10" s="74" t="s">
        <v>167</v>
      </c>
      <c r="F10" s="37">
        <f>F19*(1-F20)</f>
        <v>0.055657894736842094</v>
      </c>
    </row>
    <row r="11" spans="2:6" ht="15.75">
      <c r="B11" s="209" t="s">
        <v>166</v>
      </c>
      <c r="C11" s="214" t="s">
        <v>165</v>
      </c>
      <c r="D11" s="216"/>
      <c r="E11" s="74" t="s">
        <v>164</v>
      </c>
      <c r="F11" s="37">
        <f>F22+F23*(F24-F22)+F25</f>
        <v>0.1383214547052927</v>
      </c>
    </row>
    <row r="12" spans="2:6" ht="15.75">
      <c r="B12" s="209"/>
      <c r="C12" s="214"/>
      <c r="D12" s="216"/>
      <c r="E12" s="74" t="s">
        <v>152</v>
      </c>
      <c r="F12" s="37">
        <f>(1+F11)*(1+F28)/(1+F21)-1</f>
        <v>0.11775476699262843</v>
      </c>
    </row>
    <row r="13" spans="2:6" ht="15.75">
      <c r="B13" s="38" t="s">
        <v>163</v>
      </c>
      <c r="C13" s="74" t="s">
        <v>162</v>
      </c>
      <c r="D13" s="34"/>
      <c r="E13" s="76"/>
      <c r="F13" s="41">
        <f>+'[1]Financieros'!$C$23</f>
        <v>9986086</v>
      </c>
    </row>
    <row r="14" spans="2:6" ht="15.75">
      <c r="B14" s="38" t="s">
        <v>161</v>
      </c>
      <c r="C14" s="74" t="s">
        <v>160</v>
      </c>
      <c r="D14" s="34"/>
      <c r="E14" s="76"/>
      <c r="F14" s="41">
        <f>+'[1]Financieros'!$C$24</f>
        <v>14880052</v>
      </c>
    </row>
    <row r="15" spans="2:6" ht="15.75">
      <c r="B15" s="38" t="s">
        <v>63</v>
      </c>
      <c r="C15" s="74" t="s">
        <v>159</v>
      </c>
      <c r="D15" s="34"/>
      <c r="E15" s="76"/>
      <c r="F15" s="39">
        <f>F13/F14</f>
        <v>0.6711055848460744</v>
      </c>
    </row>
    <row r="16" spans="2:6" ht="15.75">
      <c r="B16" s="38"/>
      <c r="C16" s="74" t="s">
        <v>158</v>
      </c>
      <c r="D16" s="34"/>
      <c r="E16" s="76"/>
      <c r="F16" s="39">
        <f>F14/(F13+F14)</f>
        <v>0.5984062342129687</v>
      </c>
    </row>
    <row r="17" spans="2:6" ht="15.75">
      <c r="B17" s="38"/>
      <c r="C17" s="74" t="s">
        <v>157</v>
      </c>
      <c r="D17" s="34"/>
      <c r="E17" s="76"/>
      <c r="F17" s="39">
        <f>F13/(F13+F14)</f>
        <v>0.4015937657870313</v>
      </c>
    </row>
    <row r="18" spans="2:6" ht="15.75">
      <c r="B18" s="209" t="s">
        <v>156</v>
      </c>
      <c r="C18" s="214" t="s">
        <v>155</v>
      </c>
      <c r="D18" s="206" t="s">
        <v>154</v>
      </c>
      <c r="E18" s="74" t="s">
        <v>153</v>
      </c>
      <c r="F18" s="39">
        <f>+'[1]Financieros'!$C$17</f>
        <v>0.103</v>
      </c>
    </row>
    <row r="19" spans="2:6" ht="15.75">
      <c r="B19" s="209"/>
      <c r="C19" s="214"/>
      <c r="D19" s="206"/>
      <c r="E19" s="74" t="s">
        <v>152</v>
      </c>
      <c r="F19" s="39">
        <f>(1+F18)/(1+F21)-1</f>
        <v>0.08307148468185388</v>
      </c>
    </row>
    <row r="20" spans="2:6" ht="15.75">
      <c r="B20" s="38" t="s">
        <v>151</v>
      </c>
      <c r="C20" s="74" t="s">
        <v>150</v>
      </c>
      <c r="D20" s="34"/>
      <c r="E20" s="76"/>
      <c r="F20" s="39">
        <f>+'[1]Financieros'!$C$18</f>
        <v>0.33</v>
      </c>
    </row>
    <row r="21" spans="2:6" ht="15.75">
      <c r="B21" s="38" t="s">
        <v>149</v>
      </c>
      <c r="C21" s="74" t="s">
        <v>148</v>
      </c>
      <c r="D21" s="34"/>
      <c r="E21" s="76"/>
      <c r="F21" s="39">
        <f>+'[1]Financieros'!$C$12</f>
        <v>0.0184</v>
      </c>
    </row>
    <row r="22" spans="2:6" ht="15.75">
      <c r="B22" s="38" t="s">
        <v>147</v>
      </c>
      <c r="C22" s="74" t="s">
        <v>146</v>
      </c>
      <c r="D22" s="35" t="s">
        <v>145</v>
      </c>
      <c r="E22" s="74" t="s">
        <v>141</v>
      </c>
      <c r="F22" s="39">
        <f>+'[1]Financieros'!$C$19</f>
        <v>0.0519</v>
      </c>
    </row>
    <row r="23" spans="2:6" ht="18" customHeight="1">
      <c r="B23" s="71"/>
      <c r="C23" s="75" t="s">
        <v>144</v>
      </c>
      <c r="D23" s="72"/>
      <c r="E23" s="77"/>
      <c r="F23" s="40">
        <f>F26*(1+(1-F20)*(F13/F14))</f>
        <v>1.3046766676621828</v>
      </c>
    </row>
    <row r="24" spans="2:6" ht="15.75">
      <c r="B24" s="38" t="s">
        <v>143</v>
      </c>
      <c r="C24" s="74" t="s">
        <v>142</v>
      </c>
      <c r="D24" s="34"/>
      <c r="E24" s="74" t="s">
        <v>141</v>
      </c>
      <c r="F24" s="39">
        <f>+'[1]Financieros'!$C$21</f>
        <v>0.0907</v>
      </c>
    </row>
    <row r="25" spans="2:6" ht="15.75">
      <c r="B25" s="38" t="s">
        <v>140</v>
      </c>
      <c r="C25" s="74" t="s">
        <v>139</v>
      </c>
      <c r="D25" s="34"/>
      <c r="E25" s="76"/>
      <c r="F25" s="39">
        <f>+'[1]Financieros'!$C$22</f>
        <v>0.0358</v>
      </c>
    </row>
    <row r="26" spans="2:6" ht="15.75">
      <c r="B26" s="38" t="s">
        <v>138</v>
      </c>
      <c r="C26" s="74" t="s">
        <v>137</v>
      </c>
      <c r="D26" s="34"/>
      <c r="E26" s="74" t="s">
        <v>136</v>
      </c>
      <c r="F26" s="40">
        <f>+'[1]Financieros'!$C$20</f>
        <v>0.9</v>
      </c>
    </row>
    <row r="27" spans="2:6" ht="15.75">
      <c r="B27" s="38" t="s">
        <v>135</v>
      </c>
      <c r="C27" s="74" t="s">
        <v>134</v>
      </c>
      <c r="D27" s="34"/>
      <c r="E27" s="76"/>
      <c r="F27" s="39">
        <f>+'[1]Financieros'!$C$26</f>
        <v>0.0228</v>
      </c>
    </row>
    <row r="28" spans="2:6" ht="15.75">
      <c r="B28" s="38" t="s">
        <v>133</v>
      </c>
      <c r="C28" s="74" t="s">
        <v>132</v>
      </c>
      <c r="D28" s="34"/>
      <c r="E28" s="76"/>
      <c r="F28" s="39">
        <f>+'[1]Financieros'!$C$25</f>
        <v>0</v>
      </c>
    </row>
    <row r="29" spans="2:6" ht="15.75">
      <c r="B29" s="38" t="s">
        <v>131</v>
      </c>
      <c r="C29" s="74" t="s">
        <v>130</v>
      </c>
      <c r="D29" s="34"/>
      <c r="E29" s="76"/>
      <c r="F29" s="37">
        <f>F8/(1-F20)</f>
        <v>0.13853291077586713</v>
      </c>
    </row>
  </sheetData>
  <sheetProtection/>
  <mergeCells count="11">
    <mergeCell ref="E8:E9"/>
    <mergeCell ref="F8:F9"/>
    <mergeCell ref="D11:D12"/>
    <mergeCell ref="D18:D19"/>
    <mergeCell ref="D8:D9"/>
    <mergeCell ref="B11:B12"/>
    <mergeCell ref="B8:B9"/>
    <mergeCell ref="C8:C9"/>
    <mergeCell ref="B18:B19"/>
    <mergeCell ref="C18:C19"/>
    <mergeCell ref="C11:C12"/>
  </mergeCells>
  <printOptions/>
  <pageMargins left="0.75" right="0.75" top="1" bottom="1" header="0.5" footer="0.5"/>
  <pageSetup fitToHeight="1" fitToWidth="1" orientation="landscape" scale="87" r:id="rId8"/>
  <headerFooter alignWithMargins="0">
    <oddHeader>&amp;CAnálisis BA&amp;H</oddHeader>
  </headerFooter>
  <legacyDrawing r:id="rId7"/>
  <oleObjects>
    <oleObject progId="Equation.3" shapeId="187128" r:id="rId1"/>
    <oleObject progId="Equation.3" shapeId="187127" r:id="rId2"/>
    <oleObject progId="Equation.3" shapeId="187126" r:id="rId3"/>
    <oleObject progId="Equation.3" shapeId="187125" r:id="rId4"/>
    <oleObject progId="Equation.3" shapeId="187124" r:id="rId5"/>
    <oleObject progId="Equation.3" shapeId="187123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AL31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1.7109375" style="84" customWidth="1"/>
    <col min="2" max="2" width="44.00390625" style="84" customWidth="1"/>
    <col min="3" max="3" width="12.7109375" style="84" customWidth="1"/>
    <col min="4" max="4" width="14.421875" style="84" customWidth="1"/>
    <col min="5" max="8" width="12.28125" style="84" bestFit="1" customWidth="1"/>
    <col min="9" max="11" width="13.421875" style="84" bestFit="1" customWidth="1"/>
    <col min="12" max="12" width="12.421875" style="84" customWidth="1"/>
    <col min="13" max="16384" width="11.421875" style="84" customWidth="1"/>
  </cols>
  <sheetData>
    <row r="1" ht="4.5" customHeight="1">
      <c r="B1" s="86"/>
    </row>
    <row r="2" ht="15" customHeight="1">
      <c r="B2" s="83" t="str">
        <f>+Balance!B2</f>
        <v>COMISION DE REGULACION DE COMUNICACIONES</v>
      </c>
    </row>
    <row r="3" ht="15" customHeight="1">
      <c r="B3" s="83" t="str">
        <f>+Balance!B3</f>
        <v>OPERADOR POSTAL</v>
      </c>
    </row>
    <row r="4" ht="15" customHeight="1">
      <c r="B4" s="85" t="s">
        <v>83</v>
      </c>
    </row>
    <row r="5" ht="4.5" customHeight="1">
      <c r="B5" s="86"/>
    </row>
    <row r="6" spans="2:38" ht="15.75">
      <c r="B6" s="87" t="s">
        <v>1</v>
      </c>
      <c r="C6" s="88">
        <f>+Balance!C7</f>
        <v>2009</v>
      </c>
      <c r="D6" s="89"/>
      <c r="E6" s="90"/>
      <c r="F6" s="90"/>
      <c r="G6" s="90"/>
      <c r="H6" s="90"/>
      <c r="I6" s="90"/>
      <c r="J6" s="90"/>
      <c r="K6" s="90"/>
      <c r="L6" s="90"/>
      <c r="M6" s="90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2:38" ht="15.75">
      <c r="B7" s="113" t="s">
        <v>8</v>
      </c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2:38" ht="15.75">
      <c r="B8" s="95" t="str">
        <f>+Balance!B14</f>
        <v>3.1.  Activos Tipo I Muebles y Enseres</v>
      </c>
      <c r="C8" s="93">
        <f>+Balance!C15</f>
        <v>492.58798000717763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2:38" ht="15.75">
      <c r="B9" s="95" t="str">
        <f>+Balance!B17</f>
        <v>3.2.  Activos Tipo II Equipos</v>
      </c>
      <c r="C9" s="93">
        <f>+Balance!C18</f>
        <v>1731.6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</row>
    <row r="10" spans="2:38" ht="15.75" hidden="1">
      <c r="B10" s="95" t="str">
        <f>+Balance!B20</f>
        <v>3.3. Activos Tipo III</v>
      </c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2:38" ht="15.75" hidden="1">
      <c r="B11" s="95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</row>
    <row r="12" spans="3:38" ht="19.5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2:38" ht="15" customHeight="1">
      <c r="B13" s="70" t="s">
        <v>84</v>
      </c>
      <c r="C13" s="97">
        <f>+Balance!C7</f>
        <v>2009</v>
      </c>
      <c r="D13" s="97">
        <f>+Balance!D7</f>
        <v>2010</v>
      </c>
      <c r="E13" s="97">
        <f>+Balance!E7</f>
        <v>2011</v>
      </c>
      <c r="F13" s="97">
        <f>+Balance!F7</f>
        <v>2012</v>
      </c>
      <c r="G13" s="97">
        <f>+Balance!G7</f>
        <v>2013</v>
      </c>
      <c r="H13" s="97">
        <f>+Balance!H7</f>
        <v>2014</v>
      </c>
      <c r="I13" s="97">
        <f>+Balance!I7</f>
        <v>2015</v>
      </c>
      <c r="J13" s="97">
        <f>+Balance!J7</f>
        <v>2016</v>
      </c>
      <c r="K13" s="97">
        <f>+Balance!K7</f>
        <v>2017</v>
      </c>
      <c r="L13" s="97">
        <f>+Balance!L7</f>
        <v>2018</v>
      </c>
      <c r="M13" s="97">
        <f>+Balance!M7</f>
        <v>2019</v>
      </c>
      <c r="N13" s="90"/>
      <c r="O13" s="90"/>
      <c r="P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</row>
    <row r="14" spans="2:38" ht="15" customHeight="1">
      <c r="B14" s="100" t="str">
        <f>+B20</f>
        <v>3.1.  Activos Tipo I Muebles y Enseres</v>
      </c>
      <c r="C14" s="98">
        <f>+Balance!C16</f>
        <v>0</v>
      </c>
      <c r="D14" s="98">
        <f aca="true" t="shared" si="0" ref="D14:M14">+C14+C26</f>
        <v>49.25879800071777</v>
      </c>
      <c r="E14" s="98">
        <f t="shared" si="0"/>
        <v>98.51759600143554</v>
      </c>
      <c r="F14" s="98">
        <f t="shared" si="0"/>
        <v>147.7763940021533</v>
      </c>
      <c r="G14" s="98">
        <f t="shared" si="0"/>
        <v>197.03519200287107</v>
      </c>
      <c r="H14" s="98">
        <f t="shared" si="0"/>
        <v>246.29399000358885</v>
      </c>
      <c r="I14" s="98">
        <f t="shared" si="0"/>
        <v>295.5527880043066</v>
      </c>
      <c r="J14" s="98">
        <f t="shared" si="0"/>
        <v>344.81158600502437</v>
      </c>
      <c r="K14" s="98">
        <f t="shared" si="0"/>
        <v>394.07038400574214</v>
      </c>
      <c r="L14" s="98">
        <f t="shared" si="0"/>
        <v>443.3291820064599</v>
      </c>
      <c r="M14" s="98">
        <f t="shared" si="0"/>
        <v>492.58798000717763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2:38" ht="15" customHeight="1">
      <c r="B15" s="100" t="str">
        <f>+B21</f>
        <v>3.2.  Activos Tipo II Equipos</v>
      </c>
      <c r="C15" s="98">
        <f>+Balance!C19</f>
        <v>0</v>
      </c>
      <c r="D15" s="98">
        <f aca="true" t="shared" si="1" ref="D15:M15">+C15+C27</f>
        <v>346.32</v>
      </c>
      <c r="E15" s="98">
        <f t="shared" si="1"/>
        <v>692.64</v>
      </c>
      <c r="F15" s="98">
        <f t="shared" si="1"/>
        <v>1038.96</v>
      </c>
      <c r="G15" s="98">
        <f t="shared" si="1"/>
        <v>1385.28</v>
      </c>
      <c r="H15" s="98">
        <f t="shared" si="1"/>
        <v>1731.6</v>
      </c>
      <c r="I15" s="98">
        <f t="shared" si="1"/>
        <v>1731.6</v>
      </c>
      <c r="J15" s="98">
        <f t="shared" si="1"/>
        <v>1731.6</v>
      </c>
      <c r="K15" s="98">
        <f t="shared" si="1"/>
        <v>1731.6</v>
      </c>
      <c r="L15" s="98">
        <f t="shared" si="1"/>
        <v>1731.6</v>
      </c>
      <c r="M15" s="98">
        <f t="shared" si="1"/>
        <v>1731.6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2:38" ht="15" customHeight="1" hidden="1">
      <c r="B16" s="100" t="str">
        <f>+B22</f>
        <v>3.3. Activos Tipo III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:38" ht="15" customHeight="1" hidden="1">
      <c r="B17" s="100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3:38" ht="19.5" customHeight="1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2:13" ht="15.75">
      <c r="B19" s="70" t="s">
        <v>179</v>
      </c>
      <c r="C19" s="97" t="s">
        <v>15</v>
      </c>
      <c r="D19" s="97" t="s">
        <v>5</v>
      </c>
      <c r="E19" s="96"/>
      <c r="F19" s="96"/>
      <c r="G19" s="96"/>
      <c r="H19" s="96"/>
      <c r="I19" s="96"/>
      <c r="J19" s="96"/>
      <c r="K19" s="96"/>
      <c r="L19" s="96"/>
      <c r="M19" s="96"/>
    </row>
    <row r="20" spans="2:13" ht="15.75">
      <c r="B20" s="100" t="str">
        <f>+B8</f>
        <v>3.1.  Activos Tipo I Muebles y Enseres</v>
      </c>
      <c r="C20" s="99">
        <f>+'[1]Financieros'!C29</f>
        <v>10</v>
      </c>
      <c r="D20" s="101">
        <f>1/'[1]Financieros'!C33</f>
        <v>0.1</v>
      </c>
      <c r="E20" s="96"/>
      <c r="F20" s="96"/>
      <c r="G20" s="96"/>
      <c r="H20" s="96"/>
      <c r="I20" s="96"/>
      <c r="J20" s="96"/>
      <c r="K20" s="96"/>
      <c r="L20" s="96"/>
      <c r="M20" s="96"/>
    </row>
    <row r="21" spans="2:13" ht="15.75">
      <c r="B21" s="100" t="str">
        <f>+B9</f>
        <v>3.2.  Activos Tipo II Equipos</v>
      </c>
      <c r="C21" s="99">
        <f>+'[1]Financieros'!C30</f>
        <v>5</v>
      </c>
      <c r="D21" s="101">
        <f>1/'[1]Financieros'!C34</f>
        <v>0.2</v>
      </c>
      <c r="E21" s="96"/>
      <c r="F21" s="96"/>
      <c r="G21" s="96"/>
      <c r="H21" s="96"/>
      <c r="I21" s="96"/>
      <c r="J21" s="96"/>
      <c r="K21" s="96"/>
      <c r="L21" s="96"/>
      <c r="M21" s="96"/>
    </row>
    <row r="22" spans="2:13" ht="15.75" hidden="1">
      <c r="B22" s="100" t="str">
        <f>+B10</f>
        <v>3.3. Activos Tipo III</v>
      </c>
      <c r="C22" s="99"/>
      <c r="D22" s="101"/>
      <c r="E22" s="96"/>
      <c r="F22" s="96"/>
      <c r="G22" s="96"/>
      <c r="H22" s="96"/>
      <c r="I22" s="96"/>
      <c r="J22" s="96"/>
      <c r="K22" s="96"/>
      <c r="L22" s="96"/>
      <c r="M22" s="96"/>
    </row>
    <row r="23" spans="2:13" ht="13.5" customHeight="1" hidden="1">
      <c r="B23" s="100"/>
      <c r="C23" s="102"/>
      <c r="D23" s="101"/>
      <c r="E23" s="96"/>
      <c r="F23" s="96"/>
      <c r="G23" s="96"/>
      <c r="H23" s="96"/>
      <c r="I23" s="96"/>
      <c r="J23" s="96"/>
      <c r="K23" s="96"/>
      <c r="L23" s="96"/>
      <c r="M23" s="96"/>
    </row>
    <row r="24" spans="3:13" ht="15.7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 ht="15.75">
      <c r="B25" s="70" t="s">
        <v>180</v>
      </c>
      <c r="C25" s="97">
        <f>+D13</f>
        <v>2010</v>
      </c>
      <c r="D25" s="97">
        <f aca="true" t="shared" si="2" ref="D25:M25">+C25+1</f>
        <v>2011</v>
      </c>
      <c r="E25" s="97">
        <f t="shared" si="2"/>
        <v>2012</v>
      </c>
      <c r="F25" s="97">
        <f t="shared" si="2"/>
        <v>2013</v>
      </c>
      <c r="G25" s="97">
        <f t="shared" si="2"/>
        <v>2014</v>
      </c>
      <c r="H25" s="97">
        <f t="shared" si="2"/>
        <v>2015</v>
      </c>
      <c r="I25" s="97">
        <f t="shared" si="2"/>
        <v>2016</v>
      </c>
      <c r="J25" s="97">
        <f t="shared" si="2"/>
        <v>2017</v>
      </c>
      <c r="K25" s="97">
        <f t="shared" si="2"/>
        <v>2018</v>
      </c>
      <c r="L25" s="97">
        <f t="shared" si="2"/>
        <v>2019</v>
      </c>
      <c r="M25" s="97">
        <f t="shared" si="2"/>
        <v>2020</v>
      </c>
    </row>
    <row r="26" spans="2:13" ht="15.75">
      <c r="B26" s="103" t="str">
        <f>+B20</f>
        <v>3.1.  Activos Tipo I Muebles y Enseres</v>
      </c>
      <c r="C26" s="93">
        <f aca="true" t="shared" si="3" ref="C26:M26">IF($C$8-C14&gt;$C$8*$D$20,$C$8*$D$20,$C$8-C14)</f>
        <v>49.25879800071777</v>
      </c>
      <c r="D26" s="93">
        <f t="shared" si="3"/>
        <v>49.25879800071777</v>
      </c>
      <c r="E26" s="93">
        <f t="shared" si="3"/>
        <v>49.25879800071777</v>
      </c>
      <c r="F26" s="93">
        <f t="shared" si="3"/>
        <v>49.25879800071777</v>
      </c>
      <c r="G26" s="93">
        <f t="shared" si="3"/>
        <v>49.25879800071777</v>
      </c>
      <c r="H26" s="93">
        <f t="shared" si="3"/>
        <v>49.25879800071777</v>
      </c>
      <c r="I26" s="93">
        <f t="shared" si="3"/>
        <v>49.25879800071777</v>
      </c>
      <c r="J26" s="93">
        <f t="shared" si="3"/>
        <v>49.25879800071777</v>
      </c>
      <c r="K26" s="93">
        <f t="shared" si="3"/>
        <v>49.25879800071777</v>
      </c>
      <c r="L26" s="93">
        <f t="shared" si="3"/>
        <v>49.25879800071772</v>
      </c>
      <c r="M26" s="93">
        <f t="shared" si="3"/>
        <v>0</v>
      </c>
    </row>
    <row r="27" spans="2:13" ht="15.75">
      <c r="B27" s="103" t="str">
        <f>+B21</f>
        <v>3.2.  Activos Tipo II Equipos</v>
      </c>
      <c r="C27" s="93">
        <f aca="true" t="shared" si="4" ref="C27:M27">IF($C$9-C15&gt;$C$9*$D$21,$C$9*$D$21,$C$9-C15)</f>
        <v>346.32</v>
      </c>
      <c r="D27" s="93">
        <f t="shared" si="4"/>
        <v>346.32</v>
      </c>
      <c r="E27" s="93">
        <f t="shared" si="4"/>
        <v>346.32</v>
      </c>
      <c r="F27" s="93">
        <f t="shared" si="4"/>
        <v>346.32</v>
      </c>
      <c r="G27" s="93">
        <f t="shared" si="4"/>
        <v>346.31999999999994</v>
      </c>
      <c r="H27" s="93">
        <f t="shared" si="4"/>
        <v>0</v>
      </c>
      <c r="I27" s="93">
        <f t="shared" si="4"/>
        <v>0</v>
      </c>
      <c r="J27" s="93">
        <f t="shared" si="4"/>
        <v>0</v>
      </c>
      <c r="K27" s="93">
        <f t="shared" si="4"/>
        <v>0</v>
      </c>
      <c r="L27" s="93">
        <f t="shared" si="4"/>
        <v>0</v>
      </c>
      <c r="M27" s="93">
        <f t="shared" si="4"/>
        <v>0</v>
      </c>
    </row>
    <row r="28" spans="2:13" ht="15.75" hidden="1">
      <c r="B28" s="103" t="str">
        <f>+B16</f>
        <v>3.3. Activos Tipo III</v>
      </c>
      <c r="C28" s="93">
        <f aca="true" t="shared" si="5" ref="C28:M28">IF($C$10-C16&gt;$C$10*$D$22,$C$10*$D$22,$C$10-C16)</f>
        <v>0</v>
      </c>
      <c r="D28" s="93">
        <f t="shared" si="5"/>
        <v>0</v>
      </c>
      <c r="E28" s="93">
        <f t="shared" si="5"/>
        <v>0</v>
      </c>
      <c r="F28" s="93">
        <f t="shared" si="5"/>
        <v>0</v>
      </c>
      <c r="G28" s="93">
        <f t="shared" si="5"/>
        <v>0</v>
      </c>
      <c r="H28" s="93">
        <f t="shared" si="5"/>
        <v>0</v>
      </c>
      <c r="I28" s="93">
        <f t="shared" si="5"/>
        <v>0</v>
      </c>
      <c r="J28" s="93">
        <f t="shared" si="5"/>
        <v>0</v>
      </c>
      <c r="K28" s="93">
        <f t="shared" si="5"/>
        <v>0</v>
      </c>
      <c r="L28" s="93">
        <f t="shared" si="5"/>
        <v>0</v>
      </c>
      <c r="M28" s="93">
        <f t="shared" si="5"/>
        <v>0</v>
      </c>
    </row>
    <row r="29" spans="2:13" ht="15.75" hidden="1">
      <c r="B29" s="104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1" ht="15.75">
      <c r="C31" s="96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1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84" customWidth="1"/>
    <col min="2" max="2" width="44.00390625" style="84" customWidth="1"/>
    <col min="3" max="3" width="14.57421875" style="84" customWidth="1"/>
    <col min="4" max="4" width="14.140625" style="84" customWidth="1"/>
    <col min="5" max="8" width="12.28125" style="84" bestFit="1" customWidth="1"/>
    <col min="9" max="11" width="13.421875" style="84" bestFit="1" customWidth="1"/>
    <col min="12" max="12" width="12.421875" style="84" customWidth="1"/>
    <col min="13" max="16384" width="11.421875" style="84" customWidth="1"/>
  </cols>
  <sheetData>
    <row r="1" ht="3.75" customHeight="1">
      <c r="B1" s="86"/>
    </row>
    <row r="2" ht="12.75" customHeight="1">
      <c r="B2" s="83" t="str">
        <f>+Balance!B2</f>
        <v>COMISION DE REGULACION DE COMUNICACIONES</v>
      </c>
    </row>
    <row r="3" ht="12.75" customHeight="1">
      <c r="B3" s="83" t="str">
        <f>+Balance!B3</f>
        <v>OPERADOR POSTAL</v>
      </c>
    </row>
    <row r="4" ht="12.75" customHeight="1">
      <c r="B4" s="85" t="s">
        <v>181</v>
      </c>
    </row>
    <row r="5" ht="3.75" customHeight="1">
      <c r="B5" s="86"/>
    </row>
    <row r="6" spans="2:38" ht="15.75">
      <c r="B6" s="70" t="s">
        <v>1</v>
      </c>
      <c r="C6" s="97">
        <f>+'[1]Financieros'!D7</f>
        <v>2010</v>
      </c>
      <c r="D6" s="97">
        <f>+'[1]Financieros'!E7</f>
        <v>2011</v>
      </c>
      <c r="E6" s="97">
        <f>+'[1]Financieros'!F7</f>
        <v>2012</v>
      </c>
      <c r="F6" s="97">
        <f>+'[1]Financieros'!G7</f>
        <v>2013</v>
      </c>
      <c r="G6" s="97">
        <f>+'[1]Financieros'!H7</f>
        <v>2014</v>
      </c>
      <c r="H6" s="97">
        <f>+'[1]Financieros'!I7</f>
        <v>2015</v>
      </c>
      <c r="I6" s="97">
        <f>+'[1]Financieros'!J7</f>
        <v>2016</v>
      </c>
      <c r="J6" s="97">
        <f>+'[1]Financieros'!K7</f>
        <v>2017</v>
      </c>
      <c r="K6" s="97">
        <f>+'[1]Financieros'!L7</f>
        <v>2018</v>
      </c>
      <c r="L6" s="97">
        <f>+'[1]Financieros'!M7</f>
        <v>2019</v>
      </c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2:38" ht="15.75">
      <c r="B7" s="136" t="s">
        <v>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94"/>
      <c r="O7" s="94"/>
      <c r="P7" s="94"/>
      <c r="Q7" s="94"/>
      <c r="R7" s="94"/>
      <c r="S7" s="94"/>
      <c r="T7" s="94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2:38" ht="15.75">
      <c r="B8" s="112" t="s">
        <v>102</v>
      </c>
      <c r="C8" s="93">
        <f>'[1]Financieros'!$C$29+1</f>
        <v>11</v>
      </c>
      <c r="D8" s="93">
        <f>C8+1</f>
        <v>12</v>
      </c>
      <c r="E8" s="93">
        <f aca="true" t="shared" si="0" ref="E8:L8">D8+1</f>
        <v>13</v>
      </c>
      <c r="F8" s="93">
        <f t="shared" si="0"/>
        <v>14</v>
      </c>
      <c r="G8" s="93">
        <f t="shared" si="0"/>
        <v>15</v>
      </c>
      <c r="H8" s="93">
        <f t="shared" si="0"/>
        <v>16</v>
      </c>
      <c r="I8" s="93">
        <f t="shared" si="0"/>
        <v>17</v>
      </c>
      <c r="J8" s="93">
        <f t="shared" si="0"/>
        <v>18</v>
      </c>
      <c r="K8" s="93">
        <f t="shared" si="0"/>
        <v>19</v>
      </c>
      <c r="L8" s="93">
        <f t="shared" si="0"/>
        <v>20</v>
      </c>
      <c r="M8" s="94"/>
      <c r="N8" s="94"/>
      <c r="O8" s="94"/>
      <c r="P8" s="94"/>
      <c r="Q8" s="94"/>
      <c r="R8" s="94"/>
      <c r="S8" s="94"/>
      <c r="T8" s="9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2:38" ht="15.75">
      <c r="B9" s="113" t="s">
        <v>9</v>
      </c>
      <c r="C9" s="114">
        <f>IF(OR(C8=$C$87,C8=$C$87*2,C8=$C$87*3,C8=$C$87*4,C8=$C$87*5),'[1]Financieros'!$C$80,0)</f>
        <v>0</v>
      </c>
      <c r="D9" s="114">
        <f>IF(OR(D8=$C$87,D8=$C$87*2,D8=$C$87*3,D8=$C$87*4,D8=$C$87*5),'[1]Financieros'!$C$80,0)</f>
        <v>0</v>
      </c>
      <c r="E9" s="114">
        <f>IF(OR(E8=$C$87,E8=$C$87*2,E8=$C$87*3,E8=$C$87*4,E8=$C$87*5),'[1]Financieros'!$C$80,0)</f>
        <v>0</v>
      </c>
      <c r="F9" s="114">
        <f>IF(OR(F8=$C$87,F8=$C$87*2,F8=$C$87*3,F8=$C$87*4,F8=$C$87*5),'[1]Financieros'!$C$80,0)</f>
        <v>0</v>
      </c>
      <c r="G9" s="114">
        <f>IF(OR(G8=$C$87,G8=$C$87*2,G8=$C$87*3,G8=$C$87*4,G8=$C$87*5),'[1]Financieros'!$C$80,0)</f>
        <v>0</v>
      </c>
      <c r="H9" s="114">
        <f>IF(OR(H8=$C$87,H8=$C$87*2,H8=$C$87*3,H8=$C$87*4,H8=$C$87*5),'[1]Financieros'!$C$80,0)</f>
        <v>0</v>
      </c>
      <c r="I9" s="114">
        <f>IF(OR(I8=$C$87,I8=$C$87*2,I8=$C$87*3,I8=$C$87*4,I8=$C$87*5),'[1]Financieros'!$C$80,0)</f>
        <v>0</v>
      </c>
      <c r="J9" s="114">
        <f>IF(OR(J8=$C$87,J8=$C$87*2,J8=$C$87*3,J8=$C$87*4,J8=$C$87*5),'[1]Financieros'!$C$80,0)</f>
        <v>0</v>
      </c>
      <c r="K9" s="114">
        <f>IF(OR(K8=$C$87,K8=$C$87*2,K8=$C$87*3,K8=$C$87*4,K8=$C$87*5),'[1]Financieros'!$C$80,0)</f>
        <v>0</v>
      </c>
      <c r="L9" s="114">
        <f>IF(OR(L8=$C$87,L8=$C$87*2,L8=$C$87*3,L8=$C$87*4,L8=$C$87*5),'[1]Financieros'!$C$80,0)</f>
        <v>492.58798000717763</v>
      </c>
      <c r="M9" s="94"/>
      <c r="N9" s="94"/>
      <c r="O9" s="94"/>
      <c r="P9" s="94"/>
      <c r="Q9" s="94"/>
      <c r="R9" s="94"/>
      <c r="S9" s="94"/>
      <c r="T9" s="94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</row>
    <row r="10" spans="2:38" ht="15.75">
      <c r="B10" s="112" t="s">
        <v>102</v>
      </c>
      <c r="C10" s="93">
        <f>'[1]Financieros'!$C$30+1</f>
        <v>6</v>
      </c>
      <c r="D10" s="93">
        <f>C10+1</f>
        <v>7</v>
      </c>
      <c r="E10" s="93">
        <f aca="true" t="shared" si="1" ref="E10:L10">D10+1</f>
        <v>8</v>
      </c>
      <c r="F10" s="93">
        <f t="shared" si="1"/>
        <v>9</v>
      </c>
      <c r="G10" s="93">
        <f t="shared" si="1"/>
        <v>10</v>
      </c>
      <c r="H10" s="93">
        <f t="shared" si="1"/>
        <v>11</v>
      </c>
      <c r="I10" s="93">
        <f t="shared" si="1"/>
        <v>12</v>
      </c>
      <c r="J10" s="93">
        <f t="shared" si="1"/>
        <v>13</v>
      </c>
      <c r="K10" s="93">
        <f t="shared" si="1"/>
        <v>14</v>
      </c>
      <c r="L10" s="93">
        <f t="shared" si="1"/>
        <v>15</v>
      </c>
      <c r="M10" s="94"/>
      <c r="N10" s="94"/>
      <c r="O10" s="94"/>
      <c r="P10" s="94"/>
      <c r="Q10" s="94"/>
      <c r="R10" s="94"/>
      <c r="S10" s="94"/>
      <c r="T10" s="94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2:38" ht="15.75">
      <c r="B11" s="113" t="s">
        <v>10</v>
      </c>
      <c r="C11" s="114">
        <f>IF(OR(C10=$C$88,C10=$C$88*2,C10=$C$88*3,C10=$C$88*4,C10=$C$88*5,C10=$C$88*6),'[1]Financieros'!$C$83,0)</f>
        <v>0</v>
      </c>
      <c r="D11" s="114">
        <f>IF(OR(D10=$C$88,D10=$C$88*2,D10=$C$88*3,D10=$C$88*4,D10=$C$88*5,D10=$C$88*6),'[1]Financieros'!$C$83,0)</f>
        <v>0</v>
      </c>
      <c r="E11" s="114">
        <f>IF(OR(E10=$C$88,E10=$C$88*2,E10=$C$88*3,E10=$C$88*4,E10=$C$88*5,E10=$C$88*6),'[1]Financieros'!$C$83,0)</f>
        <v>0</v>
      </c>
      <c r="F11" s="114">
        <f>IF(OR(F10=$C$88,F10=$C$88*2,F10=$C$88*3,F10=$C$88*4,F10=$C$88*5,F10=$C$88*6),'[1]Financieros'!$C$83,0)</f>
        <v>0</v>
      </c>
      <c r="G11" s="114">
        <f>IF(OR(G10=$C$88,G10=$C$88*2,G10=$C$88*3,G10=$C$88*4,G10=$C$88*5,G10=$C$88*6),'[1]Financieros'!$C$83,0)</f>
        <v>1731.6</v>
      </c>
      <c r="H11" s="114">
        <f>IF(OR(H10=$C$88,H10=$C$88*2,H10=$C$88*3,H10=$C$88*4,H10=$C$88*5,H10=$C$88*6),'[1]Financieros'!$C$83,0)</f>
        <v>0</v>
      </c>
      <c r="I11" s="114">
        <f>IF(OR(I10=$C$88,I10=$C$88*2,I10=$C$88*3,I10=$C$88*4,I10=$C$88*5,I10=$C$88*6),'[1]Financieros'!$C$83,0)</f>
        <v>0</v>
      </c>
      <c r="J11" s="114">
        <f>IF(OR(J10=$C$88,J10=$C$88*2,J10=$C$88*3,J10=$C$88*4,J10=$C$88*5,J10=$C$88*6),'[1]Financieros'!$C$83,0)</f>
        <v>0</v>
      </c>
      <c r="K11" s="114">
        <f>IF(OR(K10=$C$88,K10=$C$88*2,K10=$C$88*3,K10=$C$88*4,K10=$C$88*5,K10=$C$88*6),'[1]Financieros'!$C$83,0)</f>
        <v>0</v>
      </c>
      <c r="L11" s="114">
        <f>IF(OR(L10=$C$88,L10=$C$88*2,L10=$C$88*3,L10=$C$88*4,L10=$C$88*5,L10=$C$88*6),'[1]Financieros'!$C$83,0)</f>
        <v>1731.6</v>
      </c>
      <c r="M11" s="94"/>
      <c r="N11" s="94"/>
      <c r="O11" s="94"/>
      <c r="P11" s="94"/>
      <c r="Q11" s="94"/>
      <c r="R11" s="94"/>
      <c r="S11" s="94"/>
      <c r="T11" s="94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</row>
    <row r="12" spans="2:38" ht="15.75">
      <c r="B12" s="112" t="s">
        <v>102</v>
      </c>
      <c r="C12" s="93">
        <f>'[1]Financieros'!$C$31+1</f>
        <v>1</v>
      </c>
      <c r="D12" s="93">
        <f>C12+1</f>
        <v>2</v>
      </c>
      <c r="E12" s="93">
        <f aca="true" t="shared" si="2" ref="E12:L12">D12+1</f>
        <v>3</v>
      </c>
      <c r="F12" s="93">
        <f t="shared" si="2"/>
        <v>4</v>
      </c>
      <c r="G12" s="93">
        <f t="shared" si="2"/>
        <v>5</v>
      </c>
      <c r="H12" s="93">
        <f t="shared" si="2"/>
        <v>6</v>
      </c>
      <c r="I12" s="93">
        <f t="shared" si="2"/>
        <v>7</v>
      </c>
      <c r="J12" s="93">
        <f t="shared" si="2"/>
        <v>8</v>
      </c>
      <c r="K12" s="93">
        <f t="shared" si="2"/>
        <v>9</v>
      </c>
      <c r="L12" s="93">
        <f t="shared" si="2"/>
        <v>10</v>
      </c>
      <c r="M12" s="94"/>
      <c r="N12" s="94"/>
      <c r="O12" s="94"/>
      <c r="P12" s="94"/>
      <c r="Q12" s="94"/>
      <c r="R12" s="94"/>
      <c r="S12" s="94"/>
      <c r="T12" s="94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2:38" ht="15.75" hidden="1">
      <c r="B13" s="113" t="s">
        <v>11</v>
      </c>
      <c r="C13" s="114">
        <f>IF(OR(C12=$C$89,C12=$C$89*2,C12=$C$89*3,C12=$C$89*4,C12=$C$89*5,C12=$C$89*6,C12=$C$89*7,C12=$C$89*8,C12=$C$89*9,C12=$C$89*10),'[1]Financieros'!$C$86,0)</f>
        <v>0</v>
      </c>
      <c r="D13" s="114">
        <f>IF(OR(D12=$C$89,D12=$C$89*2,D12=$C$89*3,D12=$C$89*4,D12=$C$89*5,D12=$C$89*6,D12=$C$89*7,D12=$C$89*8,D12=$C$89*9,D12=$C$89*10),'[1]Financieros'!$C$86,0)</f>
        <v>0</v>
      </c>
      <c r="E13" s="114">
        <f>IF(OR(E12=$C$89,E12=$C$89*2,E12=$C$89*3,E12=$C$89*4,E12=$C$89*5,E12=$C$89*6,E12=$C$89*7,E12=$C$89*8,E12=$C$89*9,E12=$C$89*10),'[1]Financieros'!$C$86,0)</f>
        <v>0</v>
      </c>
      <c r="F13" s="114">
        <f>IF(OR(F12=$C$89,F12=$C$89*2,F12=$C$89*3,F12=$C$89*4,F12=$C$89*5,F12=$C$89*6,F12=$C$89*7,F12=$C$89*8,F12=$C$89*9,F12=$C$89*10),'[1]Financieros'!$C$86,0)</f>
        <v>0</v>
      </c>
      <c r="G13" s="114">
        <f>IF(OR(G12=$C$89,G12=$C$89*2,G12=$C$89*3,G12=$C$89*4,G12=$C$89*5,G12=$C$89*6,G12=$C$89*7,G12=$C$89*8,G12=$C$89*9,G12=$C$89*10),'[1]Financieros'!$C$86,0)</f>
        <v>0</v>
      </c>
      <c r="H13" s="114">
        <f>IF(OR(H12=$C$89,H12=$C$89*2,H12=$C$89*3,H12=$C$89*4,H12=$C$89*5,H12=$C$89*6,H12=$C$89*7,H12=$C$89*8,H12=$C$89*9,H12=$C$89*10),'[1]Financieros'!$C$86,0)</f>
        <v>0</v>
      </c>
      <c r="I13" s="114">
        <f>IF(OR(I12=$C$89,I12=$C$89*2,I12=$C$89*3,I12=$C$89*4,I12=$C$89*5,I12=$C$89*6,I12=$C$89*7,I12=$C$89*8,I12=$C$89*9,I12=$C$89*10),'[1]Financieros'!$C$86,0)</f>
        <v>0</v>
      </c>
      <c r="J13" s="114">
        <f>IF(OR(J12=$C$89,J12=$C$89*2,J12=$C$89*3,J12=$C$89*4,J12=$C$89*5,J12=$C$89*6,J12=$C$89*7,J12=$C$89*8,J12=$C$89*9,J12=$C$89*10),'[1]Financieros'!$C$86,0)</f>
        <v>0</v>
      </c>
      <c r="K13" s="114">
        <f>IF(OR(K12=$C$89,K12=$C$89*2,K12=$C$89*3,K12=$C$89*4,K12=$C$89*5,K12=$C$89*6,K12=$C$89*7,K12=$C$89*8,K12=$C$89*9,K12=$C$89*10),'[1]Financieros'!$C$86,0)</f>
        <v>0</v>
      </c>
      <c r="L13" s="114">
        <f>IF(OR(L12=$C$89,L12=$C$89*2,L12=$C$89*3,L12=$C$89*4,L12=$C$89*5,L12=$C$89*6,L12=$C$89*7,L12=$C$89*8,L12=$C$89*9,L12=$C$89*10),'[1]Financieros'!$C$86,0)</f>
        <v>0</v>
      </c>
      <c r="M13" s="94"/>
      <c r="N13" s="94"/>
      <c r="O13" s="94"/>
      <c r="P13" s="94"/>
      <c r="Q13" s="94"/>
      <c r="R13" s="94"/>
      <c r="S13" s="94"/>
      <c r="T13" s="94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</row>
    <row r="14" ht="15.75">
      <c r="B14" s="105"/>
    </row>
    <row r="15" ht="15.75">
      <c r="B15" s="85" t="s">
        <v>0</v>
      </c>
    </row>
    <row r="16" spans="2:38" ht="15.75">
      <c r="B16" s="70" t="s">
        <v>1</v>
      </c>
      <c r="C16" s="97">
        <f>C6</f>
        <v>2010</v>
      </c>
      <c r="D16" s="97">
        <f aca="true" t="shared" si="3" ref="D16:L16">D6</f>
        <v>2011</v>
      </c>
      <c r="E16" s="97">
        <f t="shared" si="3"/>
        <v>2012</v>
      </c>
      <c r="F16" s="97">
        <f t="shared" si="3"/>
        <v>2013</v>
      </c>
      <c r="G16" s="97">
        <f t="shared" si="3"/>
        <v>2014</v>
      </c>
      <c r="H16" s="97">
        <f t="shared" si="3"/>
        <v>2015</v>
      </c>
      <c r="I16" s="97">
        <f t="shared" si="3"/>
        <v>2016</v>
      </c>
      <c r="J16" s="97">
        <f t="shared" si="3"/>
        <v>2017</v>
      </c>
      <c r="K16" s="97">
        <f t="shared" si="3"/>
        <v>2018</v>
      </c>
      <c r="L16" s="97">
        <f t="shared" si="3"/>
        <v>2019</v>
      </c>
      <c r="M16" s="91"/>
      <c r="N16" s="91"/>
      <c r="O16" s="91"/>
      <c r="P16" s="91"/>
      <c r="Q16" s="91"/>
      <c r="R16" s="91"/>
      <c r="S16" s="91"/>
      <c r="T16" s="91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:38" ht="15.75">
      <c r="B17" s="136" t="s">
        <v>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94"/>
      <c r="O17" s="94"/>
      <c r="P17" s="94"/>
      <c r="Q17" s="94"/>
      <c r="R17" s="94"/>
      <c r="S17" s="94"/>
      <c r="T17" s="94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2:38" ht="15.75">
      <c r="B18" s="137" t="s">
        <v>9</v>
      </c>
      <c r="C18" s="93">
        <f>'[1]Financieros'!D111</f>
        <v>-0.20030314232297142</v>
      </c>
      <c r="D18" s="93">
        <f>'[1]Financieros'!E111</f>
        <v>3.605304726208496</v>
      </c>
      <c r="E18" s="93">
        <f>'[1]Financieros'!F111</f>
        <v>3.81094716374482</v>
      </c>
      <c r="F18" s="93">
        <f>'[1]Financieros'!G111</f>
        <v>4.028343846654562</v>
      </c>
      <c r="G18" s="93">
        <f>'[1]Financieros'!H111</f>
        <v>4.258167793575647</v>
      </c>
      <c r="H18" s="93">
        <f>'[1]Financieros'!I111</f>
        <v>4.501130577145958</v>
      </c>
      <c r="I18" s="93">
        <f>'[1]Financieros'!J111</f>
        <v>4.75798468758858</v>
      </c>
      <c r="J18" s="93">
        <f>'[1]Financieros'!K111</f>
        <v>5.029525660242994</v>
      </c>
      <c r="K18" s="93">
        <f>'[1]Financieros'!L111</f>
        <v>5.316594693300981</v>
      </c>
      <c r="L18" s="93">
        <f>'[1]Financieros'!M111</f>
        <v>5.620081234032012</v>
      </c>
      <c r="M18" s="94"/>
      <c r="N18" s="94"/>
      <c r="O18" s="94"/>
      <c r="P18" s="94"/>
      <c r="Q18" s="94"/>
      <c r="R18" s="94"/>
      <c r="S18" s="94"/>
      <c r="T18" s="94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2:38" ht="15.75">
      <c r="B19" s="137" t="s">
        <v>10</v>
      </c>
      <c r="C19" s="93">
        <f>'[1]Financieros'!D116</f>
        <v>0</v>
      </c>
      <c r="D19" s="93">
        <f>'[1]Financieros'!E116</f>
        <v>0</v>
      </c>
      <c r="E19" s="93">
        <f>'[1]Financieros'!F116</f>
        <v>0</v>
      </c>
      <c r="F19" s="93">
        <f>'[1]Financieros'!G116</f>
        <v>0</v>
      </c>
      <c r="G19" s="93">
        <f>'[1]Financieros'!H116</f>
        <v>0</v>
      </c>
      <c r="H19" s="93">
        <f>'[1]Financieros'!I116</f>
        <v>0</v>
      </c>
      <c r="I19" s="93">
        <f>'[1]Financieros'!J116</f>
        <v>0</v>
      </c>
      <c r="J19" s="93">
        <f>'[1]Financieros'!K116</f>
        <v>0</v>
      </c>
      <c r="K19" s="93">
        <f>'[1]Financieros'!L116</f>
        <v>0</v>
      </c>
      <c r="L19" s="93">
        <f>'[1]Financieros'!M116</f>
        <v>0</v>
      </c>
      <c r="M19" s="94"/>
      <c r="N19" s="94"/>
      <c r="O19" s="94"/>
      <c r="P19" s="94"/>
      <c r="Q19" s="94"/>
      <c r="R19" s="94"/>
      <c r="S19" s="94"/>
      <c r="T19" s="94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2:38" ht="15.75" hidden="1">
      <c r="B20" s="137" t="s">
        <v>11</v>
      </c>
      <c r="C20" s="93">
        <f>'[1]Financieros'!D122</f>
        <v>0</v>
      </c>
      <c r="D20" s="93">
        <f>'[1]Financieros'!E122</f>
        <v>0</v>
      </c>
      <c r="E20" s="93">
        <f>'[1]Financieros'!F122</f>
        <v>0</v>
      </c>
      <c r="F20" s="93">
        <f>'[1]Financieros'!G122</f>
        <v>0</v>
      </c>
      <c r="G20" s="93">
        <f>'[1]Financieros'!H122</f>
        <v>0</v>
      </c>
      <c r="H20" s="93">
        <f>'[1]Financieros'!I122</f>
        <v>0</v>
      </c>
      <c r="I20" s="93">
        <f>'[1]Financieros'!J122</f>
        <v>0</v>
      </c>
      <c r="J20" s="93">
        <f>'[1]Financieros'!K122</f>
        <v>0</v>
      </c>
      <c r="K20" s="93">
        <f>'[1]Financieros'!L122</f>
        <v>0</v>
      </c>
      <c r="L20" s="93">
        <f>'[1]Financieros'!M122</f>
        <v>0</v>
      </c>
      <c r="M20" s="94"/>
      <c r="N20" s="94"/>
      <c r="O20" s="94"/>
      <c r="P20" s="94"/>
      <c r="Q20" s="94"/>
      <c r="R20" s="94"/>
      <c r="S20" s="94"/>
      <c r="T20" s="94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ht="15.75">
      <c r="B21" s="105"/>
    </row>
    <row r="22" ht="15.75">
      <c r="B22" s="85" t="s">
        <v>103</v>
      </c>
    </row>
    <row r="23" spans="2:38" ht="15.75">
      <c r="B23" s="70" t="s">
        <v>1</v>
      </c>
      <c r="C23" s="97">
        <f>C6</f>
        <v>2010</v>
      </c>
      <c r="D23" s="97">
        <f aca="true" t="shared" si="4" ref="D23:L23">D6</f>
        <v>2011</v>
      </c>
      <c r="E23" s="97">
        <f t="shared" si="4"/>
        <v>2012</v>
      </c>
      <c r="F23" s="97">
        <f t="shared" si="4"/>
        <v>2013</v>
      </c>
      <c r="G23" s="97">
        <f t="shared" si="4"/>
        <v>2014</v>
      </c>
      <c r="H23" s="97">
        <f t="shared" si="4"/>
        <v>2015</v>
      </c>
      <c r="I23" s="97">
        <f t="shared" si="4"/>
        <v>2016</v>
      </c>
      <c r="J23" s="97">
        <f t="shared" si="4"/>
        <v>2017</v>
      </c>
      <c r="K23" s="97">
        <f t="shared" si="4"/>
        <v>2018</v>
      </c>
      <c r="L23" s="97">
        <f t="shared" si="4"/>
        <v>2019</v>
      </c>
      <c r="M23" s="91"/>
      <c r="N23" s="91"/>
      <c r="O23" s="91"/>
      <c r="P23" s="91"/>
      <c r="Q23" s="91"/>
      <c r="R23" s="91"/>
      <c r="S23" s="91"/>
      <c r="T23" s="91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2:38" ht="15.75">
      <c r="B24" s="111" t="s">
        <v>8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2:38" ht="15.75">
      <c r="B25" s="115" t="s">
        <v>9</v>
      </c>
      <c r="C25" s="93">
        <f aca="true" t="shared" si="5" ref="C25:L25">IF(OR(C23=$C$16+$C$87,C23=$C$16+$C$87*2,C23=$C$16+$C$87*3,C23=$C$16+$C$87*4,C23=$C$16+$C$87*5),$C$18,0)</f>
        <v>0</v>
      </c>
      <c r="D25" s="93">
        <f t="shared" si="5"/>
        <v>0</v>
      </c>
      <c r="E25" s="93">
        <f t="shared" si="5"/>
        <v>0</v>
      </c>
      <c r="F25" s="93">
        <f t="shared" si="5"/>
        <v>0</v>
      </c>
      <c r="G25" s="93">
        <f t="shared" si="5"/>
        <v>0</v>
      </c>
      <c r="H25" s="93">
        <f t="shared" si="5"/>
        <v>0</v>
      </c>
      <c r="I25" s="93">
        <f t="shared" si="5"/>
        <v>0</v>
      </c>
      <c r="J25" s="93">
        <f t="shared" si="5"/>
        <v>0</v>
      </c>
      <c r="K25" s="93">
        <f t="shared" si="5"/>
        <v>0</v>
      </c>
      <c r="L25" s="93">
        <f t="shared" si="5"/>
        <v>0</v>
      </c>
      <c r="M25" s="94"/>
      <c r="N25" s="94"/>
      <c r="O25" s="94"/>
      <c r="P25" s="94"/>
      <c r="Q25" s="94"/>
      <c r="R25" s="94"/>
      <c r="S25" s="94"/>
      <c r="T25" s="94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2:38" ht="15.75">
      <c r="B26" s="115"/>
      <c r="C26" s="93"/>
      <c r="D26" s="93">
        <f aca="true" t="shared" si="6" ref="D26:L26">IF(OR(D23=$D$16+$C$87,D23=$D$16+$C$87*2,D23=$D$16+$C$87*3,D23=$D$16+$C$87*4,D23=$D$16+$C$87*5),$D$18,0)</f>
        <v>0</v>
      </c>
      <c r="E26" s="93">
        <f t="shared" si="6"/>
        <v>0</v>
      </c>
      <c r="F26" s="93">
        <f t="shared" si="6"/>
        <v>0</v>
      </c>
      <c r="G26" s="93">
        <f t="shared" si="6"/>
        <v>0</v>
      </c>
      <c r="H26" s="93">
        <f t="shared" si="6"/>
        <v>0</v>
      </c>
      <c r="I26" s="93">
        <f t="shared" si="6"/>
        <v>0</v>
      </c>
      <c r="J26" s="93">
        <f t="shared" si="6"/>
        <v>0</v>
      </c>
      <c r="K26" s="93">
        <f t="shared" si="6"/>
        <v>0</v>
      </c>
      <c r="L26" s="93">
        <f t="shared" si="6"/>
        <v>0</v>
      </c>
      <c r="M26" s="94"/>
      <c r="N26" s="94"/>
      <c r="O26" s="94"/>
      <c r="P26" s="94"/>
      <c r="Q26" s="94"/>
      <c r="R26" s="94"/>
      <c r="S26" s="94"/>
      <c r="T26" s="94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2:38" ht="15.75">
      <c r="B27" s="115"/>
      <c r="C27" s="93"/>
      <c r="D27" s="93"/>
      <c r="E27" s="93">
        <f aca="true" t="shared" si="7" ref="E27:L27">IF(OR(E23=$E$16+$C$87,E23=$E$16+$C$87*2,E23=$E$16+$C$87*3,E23=$E$16+$C$87*4,E23=$E$16+$C$87*5),$E$18,0)</f>
        <v>0</v>
      </c>
      <c r="F27" s="93">
        <f t="shared" si="7"/>
        <v>0</v>
      </c>
      <c r="G27" s="93">
        <f t="shared" si="7"/>
        <v>0</v>
      </c>
      <c r="H27" s="93">
        <f t="shared" si="7"/>
        <v>0</v>
      </c>
      <c r="I27" s="93">
        <f t="shared" si="7"/>
        <v>0</v>
      </c>
      <c r="J27" s="93">
        <f t="shared" si="7"/>
        <v>0</v>
      </c>
      <c r="K27" s="93">
        <f t="shared" si="7"/>
        <v>0</v>
      </c>
      <c r="L27" s="93">
        <f t="shared" si="7"/>
        <v>0</v>
      </c>
      <c r="M27" s="94"/>
      <c r="N27" s="94"/>
      <c r="O27" s="94"/>
      <c r="P27" s="94"/>
      <c r="Q27" s="94"/>
      <c r="R27" s="94"/>
      <c r="S27" s="94"/>
      <c r="T27" s="94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2:38" ht="15.75">
      <c r="B28" s="115"/>
      <c r="C28" s="93"/>
      <c r="D28" s="93"/>
      <c r="E28" s="93"/>
      <c r="F28" s="93">
        <f aca="true" t="shared" si="8" ref="F28:L28">IF(OR(F23=$F$16+$C$87,F23=$F$16+$C$87*2,F23=$F$16+$C$87*3,F23=$F$16+$C$87*4,F23=$F$16+$C$87*5),$F$18,0)</f>
        <v>0</v>
      </c>
      <c r="G28" s="93">
        <f t="shared" si="8"/>
        <v>0</v>
      </c>
      <c r="H28" s="93">
        <f t="shared" si="8"/>
        <v>0</v>
      </c>
      <c r="I28" s="93">
        <f t="shared" si="8"/>
        <v>0</v>
      </c>
      <c r="J28" s="93">
        <f t="shared" si="8"/>
        <v>0</v>
      </c>
      <c r="K28" s="93">
        <f t="shared" si="8"/>
        <v>0</v>
      </c>
      <c r="L28" s="93">
        <f t="shared" si="8"/>
        <v>0</v>
      </c>
      <c r="M28" s="94"/>
      <c r="N28" s="94"/>
      <c r="O28" s="94"/>
      <c r="P28" s="94"/>
      <c r="Q28" s="94"/>
      <c r="R28" s="94"/>
      <c r="S28" s="94"/>
      <c r="T28" s="94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2:38" ht="15.75">
      <c r="B29" s="115"/>
      <c r="C29" s="93"/>
      <c r="D29" s="93"/>
      <c r="E29" s="93"/>
      <c r="F29" s="93"/>
      <c r="G29" s="93">
        <f aca="true" t="shared" si="9" ref="G29:L29">IF(OR(G23=$G$16+$C$87,G23=$G$16+$C$87*2,G23=$G$16+$C$87*3,G23=$G$16+$C$87*4,G23=$G$16+$C$87*5),$G$18,0)</f>
        <v>0</v>
      </c>
      <c r="H29" s="93">
        <f t="shared" si="9"/>
        <v>0</v>
      </c>
      <c r="I29" s="93">
        <f t="shared" si="9"/>
        <v>0</v>
      </c>
      <c r="J29" s="93">
        <f t="shared" si="9"/>
        <v>0</v>
      </c>
      <c r="K29" s="93">
        <f t="shared" si="9"/>
        <v>0</v>
      </c>
      <c r="L29" s="93">
        <f t="shared" si="9"/>
        <v>0</v>
      </c>
      <c r="M29" s="94"/>
      <c r="N29" s="94"/>
      <c r="O29" s="94"/>
      <c r="P29" s="94"/>
      <c r="Q29" s="94"/>
      <c r="R29" s="94"/>
      <c r="S29" s="94"/>
      <c r="T29" s="94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2:38" ht="15.75">
      <c r="B30" s="115"/>
      <c r="C30" s="93"/>
      <c r="D30" s="93"/>
      <c r="E30" s="93"/>
      <c r="F30" s="93"/>
      <c r="G30" s="93"/>
      <c r="H30" s="93">
        <f>IF(OR(H23=$H$16+$C$87,H23=$H$16+$C$87*2,H23=$H$16+$C$87*3,H23=$H$16+$C$87*4,H23=$H$16+$C$87*5),$H$18,0)</f>
        <v>0</v>
      </c>
      <c r="I30" s="93">
        <f>IF(OR(I23=$H$16+$C$87,I23=$H$16+$C$87*2,I23=$H$16+$C$87*3,I23=$H$16+$C$87*4,I23=$H$16+$C$87*5),$H$18,0)</f>
        <v>0</v>
      </c>
      <c r="J30" s="93">
        <f>IF(OR(J23=$H$16+$C$87,J23=$H$16+$C$87*2,J23=$H$16+$C$87*3,J23=$H$16+$C$87*4,J23=$H$16+$C$87*5),$H$18,0)</f>
        <v>0</v>
      </c>
      <c r="K30" s="93">
        <f>IF(OR(K23=$H$16+$C$87,K23=$H$16+$C$87*2,K23=$H$16+$C$87*3,K23=$H$16+$C$87*4,K23=$H$16+$C$87*5),$H$18,0)</f>
        <v>0</v>
      </c>
      <c r="L30" s="93">
        <f>IF(OR(L23=$H$16+$C$87,L23=$H$16+$C$87*2,L23=$H$16+$C$87*3,L23=$H$16+$C$87*4,L23=$H$16+$C$87*5),$H$18,0)</f>
        <v>0</v>
      </c>
      <c r="M30" s="94"/>
      <c r="N30" s="94"/>
      <c r="O30" s="94"/>
      <c r="P30" s="94"/>
      <c r="Q30" s="94"/>
      <c r="R30" s="94"/>
      <c r="S30" s="94"/>
      <c r="T30" s="94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2:38" ht="15.75">
      <c r="B31" s="115"/>
      <c r="C31" s="93"/>
      <c r="D31" s="93"/>
      <c r="E31" s="93"/>
      <c r="F31" s="93"/>
      <c r="G31" s="93"/>
      <c r="H31" s="93"/>
      <c r="I31" s="93">
        <f>IF(OR(I23=$I$16+$C$87,I23=$I$16+$C$87*2,I23=$I$16+$C$87*3,I23=$I$16+$C$87*4,I23=$I$16+$C$87*5),$I$18,0)</f>
        <v>0</v>
      </c>
      <c r="J31" s="93">
        <f>IF(OR(J23=$I$16+$C$87,J23=$I$16+$C$87*2,J23=$I$16+$C$87*3,J23=$I$16+$C$87*4,J23=$I$16+$C$87*5),$I$18,0)</f>
        <v>0</v>
      </c>
      <c r="K31" s="93">
        <f>IF(OR(K23=$I$16+$C$87,K23=$I$16+$C$87*2,K23=$I$16+$C$87*3,K23=$I$16+$C$87*4,K23=$I$16+$C$87*5),$I$18,0)</f>
        <v>0</v>
      </c>
      <c r="L31" s="93">
        <f>IF(OR(L23=$I$16+$C$87,L23=$I$16+$C$87*2,L23=$I$16+$C$87*3,L23=$I$16+$C$87*4,L23=$I$16+$C$87*5),$I$18,0)</f>
        <v>0</v>
      </c>
      <c r="M31" s="94"/>
      <c r="N31" s="94"/>
      <c r="O31" s="94"/>
      <c r="P31" s="94"/>
      <c r="Q31" s="94"/>
      <c r="R31" s="94"/>
      <c r="S31" s="94"/>
      <c r="T31" s="94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2:38" ht="15.75">
      <c r="B32" s="115"/>
      <c r="C32" s="93"/>
      <c r="D32" s="93"/>
      <c r="E32" s="93"/>
      <c r="F32" s="93"/>
      <c r="G32" s="93"/>
      <c r="H32" s="93"/>
      <c r="I32" s="93"/>
      <c r="J32" s="93">
        <f>IF(OR(J23=$J$16+$C$87,J23=$J$16+$C$87*2,J23=$J$16+$C$87*3,J23=$J$16+$C$87*4,J23=$J$16+$C$87*5),$J$18,0)</f>
        <v>0</v>
      </c>
      <c r="K32" s="93">
        <f>IF(OR(K23=$J$16+$C$87,K23=$J$16+$C$87*2,K23=$J$16+$C$87*3,K23=$J$16+$C$87*4,K23=$J$16+$C$87*5),$J$18,0)</f>
        <v>0</v>
      </c>
      <c r="L32" s="93">
        <f>IF(OR(L23=$J$16+$C$87,L23=$J$16+$C$87*2,L23=$J$16+$C$87*3,L23=$J$16+$C$87*4,L23=$J$16+$C$87*5),$J$18,0)</f>
        <v>0</v>
      </c>
      <c r="M32" s="94"/>
      <c r="N32" s="94"/>
      <c r="O32" s="94"/>
      <c r="P32" s="94"/>
      <c r="Q32" s="94"/>
      <c r="R32" s="94"/>
      <c r="S32" s="94"/>
      <c r="T32" s="94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2:38" ht="15.75">
      <c r="B33" s="115"/>
      <c r="C33" s="93"/>
      <c r="D33" s="93"/>
      <c r="E33" s="93"/>
      <c r="F33" s="93"/>
      <c r="G33" s="93"/>
      <c r="H33" s="93"/>
      <c r="I33" s="93"/>
      <c r="J33" s="93"/>
      <c r="K33" s="93">
        <f>IF(OR(K23=$K$16+$C$87,K23=$K$16+$C$87*2,K23=$K$16+$C$87*3,K23=$K$16+$C$87*4,K23=$K$16+$C$87*5),$K$18,0)</f>
        <v>0</v>
      </c>
      <c r="L33" s="93">
        <f>IF(OR(L23=$K$16+$C$87,L23=$K$16+$C$87*2,L23=$K$16+$C$87*3,L23=$K$16+$C$87*4,L23=$K$16+$C$87*5),$K$18,0)</f>
        <v>0</v>
      </c>
      <c r="M33" s="94"/>
      <c r="N33" s="94"/>
      <c r="O33" s="94"/>
      <c r="P33" s="94"/>
      <c r="Q33" s="94"/>
      <c r="R33" s="94"/>
      <c r="S33" s="94"/>
      <c r="T33" s="94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2:38" ht="15.75">
      <c r="B34" s="115"/>
      <c r="C34" s="93"/>
      <c r="D34" s="93"/>
      <c r="E34" s="93"/>
      <c r="F34" s="93"/>
      <c r="G34" s="93"/>
      <c r="H34" s="93"/>
      <c r="I34" s="93"/>
      <c r="J34" s="93"/>
      <c r="K34" s="93"/>
      <c r="L34" s="93">
        <f>IF(OR(L23=$L$16+$C$87,L23=$L$16+$C$87*2,L23=$L$16+$C$87*3,L23=$L$16+$C$87*4,L23=$L$16+$C$87*5),$L$18,0)</f>
        <v>0</v>
      </c>
      <c r="M34" s="94"/>
      <c r="N34" s="94"/>
      <c r="O34" s="94"/>
      <c r="P34" s="94"/>
      <c r="Q34" s="94"/>
      <c r="R34" s="94"/>
      <c r="S34" s="94"/>
      <c r="T34" s="94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2:38" ht="15.75">
      <c r="B35" s="115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4"/>
      <c r="O35" s="94"/>
      <c r="P35" s="94"/>
      <c r="Q35" s="94"/>
      <c r="R35" s="94"/>
      <c r="S35" s="94"/>
      <c r="T35" s="94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2:38" ht="15.75">
      <c r="B36" s="115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94"/>
      <c r="O36" s="94"/>
      <c r="P36" s="94"/>
      <c r="Q36" s="94"/>
      <c r="R36" s="94"/>
      <c r="S36" s="94"/>
      <c r="T36" s="94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2:38" ht="15.75">
      <c r="B37" s="115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94"/>
      <c r="O37" s="94"/>
      <c r="P37" s="94"/>
      <c r="Q37" s="94"/>
      <c r="R37" s="94"/>
      <c r="S37" s="94"/>
      <c r="T37" s="94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</row>
    <row r="38" spans="2:38" ht="15.75">
      <c r="B38" s="115" t="s">
        <v>10</v>
      </c>
      <c r="C38" s="93">
        <f aca="true" t="shared" si="10" ref="C38:L38">IF(OR(C23=$C$16+$C$88,C23=$C$16+$C$88*2,C23=$C$16+$C$88*3,C23=$C$16+$C$88*4,C23=$C$16+$C$88*5),$C$19,0)</f>
        <v>0</v>
      </c>
      <c r="D38" s="93">
        <f t="shared" si="10"/>
        <v>0</v>
      </c>
      <c r="E38" s="93">
        <f t="shared" si="10"/>
        <v>0</v>
      </c>
      <c r="F38" s="93">
        <f t="shared" si="10"/>
        <v>0</v>
      </c>
      <c r="G38" s="93">
        <f t="shared" si="10"/>
        <v>0</v>
      </c>
      <c r="H38" s="93">
        <f t="shared" si="10"/>
        <v>0</v>
      </c>
      <c r="I38" s="93">
        <f t="shared" si="10"/>
        <v>0</v>
      </c>
      <c r="J38" s="93">
        <f t="shared" si="10"/>
        <v>0</v>
      </c>
      <c r="K38" s="93">
        <f t="shared" si="10"/>
        <v>0</v>
      </c>
      <c r="L38" s="93">
        <f t="shared" si="10"/>
        <v>0</v>
      </c>
      <c r="M38" s="94"/>
      <c r="N38" s="94"/>
      <c r="O38" s="94"/>
      <c r="P38" s="94"/>
      <c r="Q38" s="94"/>
      <c r="R38" s="94"/>
      <c r="S38" s="94"/>
      <c r="T38" s="94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</row>
    <row r="39" spans="2:38" ht="15.75">
      <c r="B39" s="115"/>
      <c r="C39" s="93"/>
      <c r="D39" s="93">
        <f aca="true" t="shared" si="11" ref="D39:L39">IF(OR(D23=$D$16+$C$88,D23=$D$16+$C$88*2,D23=$D$16+$C$88*3,D23=$D$16+$C$88*4,D23=$D$16+$C$88*5),$D$19,0)</f>
        <v>0</v>
      </c>
      <c r="E39" s="93">
        <f t="shared" si="11"/>
        <v>0</v>
      </c>
      <c r="F39" s="93">
        <f t="shared" si="11"/>
        <v>0</v>
      </c>
      <c r="G39" s="93">
        <f t="shared" si="11"/>
        <v>0</v>
      </c>
      <c r="H39" s="93">
        <f t="shared" si="11"/>
        <v>0</v>
      </c>
      <c r="I39" s="93">
        <f t="shared" si="11"/>
        <v>0</v>
      </c>
      <c r="J39" s="93">
        <f t="shared" si="11"/>
        <v>0</v>
      </c>
      <c r="K39" s="93">
        <f t="shared" si="11"/>
        <v>0</v>
      </c>
      <c r="L39" s="93">
        <f t="shared" si="11"/>
        <v>0</v>
      </c>
      <c r="M39" s="94"/>
      <c r="N39" s="94"/>
      <c r="O39" s="94"/>
      <c r="P39" s="94"/>
      <c r="Q39" s="94"/>
      <c r="R39" s="94"/>
      <c r="S39" s="94"/>
      <c r="T39" s="94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</row>
    <row r="40" spans="2:38" ht="15.75">
      <c r="B40" s="115"/>
      <c r="C40" s="93"/>
      <c r="D40" s="93"/>
      <c r="E40" s="93">
        <f aca="true" t="shared" si="12" ref="E40:L40">IF(OR(E23=$E$16+$C$88,E23=$E$16+$C$88*2,E23=$E$16+$C$88*3,E23=$E$16+$C$88*4,E23=$E$16+$C$88*5),$E$19,0)</f>
        <v>0</v>
      </c>
      <c r="F40" s="93">
        <f t="shared" si="12"/>
        <v>0</v>
      </c>
      <c r="G40" s="93">
        <f t="shared" si="12"/>
        <v>0</v>
      </c>
      <c r="H40" s="93">
        <f t="shared" si="12"/>
        <v>0</v>
      </c>
      <c r="I40" s="93">
        <f t="shared" si="12"/>
        <v>0</v>
      </c>
      <c r="J40" s="93">
        <f t="shared" si="12"/>
        <v>0</v>
      </c>
      <c r="K40" s="93">
        <f t="shared" si="12"/>
        <v>0</v>
      </c>
      <c r="L40" s="93">
        <f t="shared" si="12"/>
        <v>0</v>
      </c>
      <c r="M40" s="94"/>
      <c r="N40" s="94"/>
      <c r="O40" s="94"/>
      <c r="P40" s="94"/>
      <c r="Q40" s="94"/>
      <c r="R40" s="94"/>
      <c r="S40" s="94"/>
      <c r="T40" s="94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2:38" ht="15.75">
      <c r="B41" s="115"/>
      <c r="C41" s="93"/>
      <c r="D41" s="93"/>
      <c r="E41" s="93"/>
      <c r="F41" s="93">
        <f aca="true" t="shared" si="13" ref="F41:L41">IF(OR(F23=$F$16+$C$88,F23=$F$16+$C$88*2,F23=$F$16+$C$88*3,F23=$F$16+$C$88*4,F23=$F$16+$C$88*5),$F$19,0)</f>
        <v>0</v>
      </c>
      <c r="G41" s="93">
        <f t="shared" si="13"/>
        <v>0</v>
      </c>
      <c r="H41" s="93">
        <f t="shared" si="13"/>
        <v>0</v>
      </c>
      <c r="I41" s="93">
        <f t="shared" si="13"/>
        <v>0</v>
      </c>
      <c r="J41" s="93">
        <f t="shared" si="13"/>
        <v>0</v>
      </c>
      <c r="K41" s="93">
        <f t="shared" si="13"/>
        <v>0</v>
      </c>
      <c r="L41" s="93">
        <f t="shared" si="13"/>
        <v>0</v>
      </c>
      <c r="M41" s="94"/>
      <c r="N41" s="94"/>
      <c r="O41" s="94"/>
      <c r="P41" s="94"/>
      <c r="Q41" s="94"/>
      <c r="R41" s="94"/>
      <c r="S41" s="94"/>
      <c r="T41" s="94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</row>
    <row r="42" spans="2:38" ht="15.75">
      <c r="B42" s="115"/>
      <c r="C42" s="93"/>
      <c r="D42" s="93"/>
      <c r="E42" s="93"/>
      <c r="F42" s="93"/>
      <c r="G42" s="93">
        <f aca="true" t="shared" si="14" ref="G42:L42">IF(OR(G23=$G$16+$C$88,G23=$G$16+$C$88*2,G23=$G$16+$C$88*3,G23=$G$16+$C$88*4,G23=$G$16+$C$88*5),$G$19,0)</f>
        <v>0</v>
      </c>
      <c r="H42" s="93">
        <f t="shared" si="14"/>
        <v>0</v>
      </c>
      <c r="I42" s="93">
        <f t="shared" si="14"/>
        <v>0</v>
      </c>
      <c r="J42" s="93">
        <f t="shared" si="14"/>
        <v>0</v>
      </c>
      <c r="K42" s="93">
        <f t="shared" si="14"/>
        <v>0</v>
      </c>
      <c r="L42" s="93">
        <f t="shared" si="14"/>
        <v>0</v>
      </c>
      <c r="M42" s="94"/>
      <c r="N42" s="94"/>
      <c r="O42" s="94"/>
      <c r="P42" s="94"/>
      <c r="Q42" s="94"/>
      <c r="R42" s="94"/>
      <c r="S42" s="94"/>
      <c r="T42" s="94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</row>
    <row r="43" spans="2:38" ht="15.75">
      <c r="B43" s="115"/>
      <c r="C43" s="93"/>
      <c r="D43" s="93"/>
      <c r="E43" s="93"/>
      <c r="F43" s="93"/>
      <c r="G43" s="93"/>
      <c r="H43" s="93">
        <f>IF(OR(H23=$H$16+$C$88,H23=$H$16+$C$88*2,H23=$H$16+$C$88*3,H23=$H$16+$C$88*4,H23=$H$16+$C$88*5),$H$19,0)</f>
        <v>0</v>
      </c>
      <c r="I43" s="93">
        <f>IF(OR(I23=$H$16+$C$88,I23=$H$16+$C$88*2,I23=$H$16+$C$88*3,I23=$H$16+$C$88*4,I23=$H$16+$C$88*5),$H$19,0)</f>
        <v>0</v>
      </c>
      <c r="J43" s="93">
        <f>IF(OR(J23=$H$16+$C$88,J23=$H$16+$C$88*2,J23=$H$16+$C$88*3,J23=$H$16+$C$88*4,J23=$H$16+$C$88*5),$H$19,0)</f>
        <v>0</v>
      </c>
      <c r="K43" s="93">
        <f>IF(OR(K23=$H$16+$C$88,K23=$H$16+$C$88*2,K23=$H$16+$C$88*3,K23=$H$16+$C$88*4,K23=$H$16+$C$88*5),$H$19,0)</f>
        <v>0</v>
      </c>
      <c r="L43" s="93">
        <f>IF(OR(L23=$H$16+$C$88,L23=$H$16+$C$88*2,L23=$H$16+$C$88*3,L23=$H$16+$C$88*4,L23=$H$16+$C$88*5),$H$19,0)</f>
        <v>0</v>
      </c>
      <c r="M43" s="94"/>
      <c r="N43" s="94"/>
      <c r="O43" s="94"/>
      <c r="P43" s="94"/>
      <c r="Q43" s="94"/>
      <c r="R43" s="94"/>
      <c r="S43" s="94"/>
      <c r="T43" s="94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</row>
    <row r="44" spans="2:38" ht="15.75">
      <c r="B44" s="115"/>
      <c r="C44" s="93"/>
      <c r="D44" s="93"/>
      <c r="E44" s="93"/>
      <c r="F44" s="93"/>
      <c r="G44" s="93"/>
      <c r="H44" s="93"/>
      <c r="I44" s="93">
        <f>IF(OR(I23=$I$16+$C$88,I23=$I$16+$C$88*2,I23=$I$16+$C$88*3,I23=$I$16+$C$88*4,I23=$I$16+$C$88*5),$I$19,0)</f>
        <v>0</v>
      </c>
      <c r="J44" s="93">
        <f>IF(OR(J23=$I$16+$C$88,J23=$I$16+$C$88*2,J23=$I$16+$C$88*3,J23=$I$16+$C$88*4,J23=$I$16+$C$88*5),$I$19,0)</f>
        <v>0</v>
      </c>
      <c r="K44" s="93">
        <f>IF(OR(K23=$I$16+$C$88,K23=$I$16+$C$88*2,K23=$I$16+$C$88*3,K23=$I$16+$C$88*4,K23=$I$16+$C$88*5),$I$19,0)</f>
        <v>0</v>
      </c>
      <c r="L44" s="93">
        <f>IF(OR(L23=$I$16+$C$88,L23=$I$16+$C$88*2,L23=$I$16+$C$88*3,L23=$I$16+$C$88*4,L23=$I$16+$C$88*5),$I$19,0)</f>
        <v>0</v>
      </c>
      <c r="M44" s="94"/>
      <c r="N44" s="94"/>
      <c r="O44" s="94"/>
      <c r="P44" s="94"/>
      <c r="Q44" s="94"/>
      <c r="R44" s="94"/>
      <c r="S44" s="94"/>
      <c r="T44" s="94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2:38" ht="15.75">
      <c r="B45" s="115"/>
      <c r="C45" s="93"/>
      <c r="D45" s="93"/>
      <c r="E45" s="93"/>
      <c r="F45" s="93"/>
      <c r="G45" s="93"/>
      <c r="H45" s="93"/>
      <c r="I45" s="93"/>
      <c r="J45" s="93">
        <f>IF(OR(J23=$J$16+$C$88,J23=$J$16+$C$88*2,J23=$J$16+$C$88*3,J23=$J$16+$C$88*4,J23=$J$16+$C$88*5),$J$19,0)</f>
        <v>0</v>
      </c>
      <c r="K45" s="93">
        <f>IF(OR(K23=$J$16+$C$88,K23=$J$16+$C$88*2,K23=$J$16+$C$88*3,K23=$J$16+$C$88*4,K23=$J$16+$C$88*5),$J$19,0)</f>
        <v>0</v>
      </c>
      <c r="L45" s="93">
        <f>IF(OR(L23=$J$16+$C$88,L23=$J$16+$C$88*2,L23=$J$16+$C$88*3,L23=$J$16+$C$88*4,L23=$J$16+$C$88*5),$J$19,0)</f>
        <v>0</v>
      </c>
      <c r="M45" s="94"/>
      <c r="N45" s="94"/>
      <c r="O45" s="94"/>
      <c r="P45" s="94"/>
      <c r="Q45" s="94"/>
      <c r="R45" s="94"/>
      <c r="S45" s="94"/>
      <c r="T45" s="94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2:38" ht="15.75">
      <c r="B46" s="115"/>
      <c r="C46" s="93"/>
      <c r="D46" s="93"/>
      <c r="E46" s="93"/>
      <c r="F46" s="93"/>
      <c r="G46" s="93"/>
      <c r="H46" s="93"/>
      <c r="I46" s="93"/>
      <c r="J46" s="93"/>
      <c r="K46" s="93">
        <f>IF(OR(K23=$K$16+$C$88,K23=$K$16+$C$88*2,K23=$K$16+$C$88*3,K23=$K$16+$C$88*4,K23=$K$16+$C$88*5),$K$19,0)</f>
        <v>0</v>
      </c>
      <c r="L46" s="93">
        <f>IF(OR(L23=$K$16+$C$88,L23=$K$16+$C$88*2,L23=$K$16+$C$88*3,L23=$K$16+$C$88*4,L23=$K$16+$C$88*5),$K$19,0)</f>
        <v>0</v>
      </c>
      <c r="M46" s="94"/>
      <c r="N46" s="94"/>
      <c r="O46" s="94"/>
      <c r="P46" s="94"/>
      <c r="Q46" s="94"/>
      <c r="R46" s="94"/>
      <c r="S46" s="94"/>
      <c r="T46" s="94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2:38" ht="15.75">
      <c r="B47" s="115"/>
      <c r="C47" s="93"/>
      <c r="D47" s="93"/>
      <c r="E47" s="93"/>
      <c r="F47" s="93"/>
      <c r="G47" s="93"/>
      <c r="H47" s="93"/>
      <c r="I47" s="93"/>
      <c r="J47" s="93"/>
      <c r="K47" s="93"/>
      <c r="L47" s="93">
        <f>IF(OR(L23=$L$16+$C$88,L23=$L$16+$C$88*2,L23=$L$16+$C$88*3,L23=$L$16+$C$88*4,L23=$L$16+$C$88*5),$L$19,0)</f>
        <v>0</v>
      </c>
      <c r="M47" s="94"/>
      <c r="N47" s="94"/>
      <c r="O47" s="94"/>
      <c r="P47" s="94"/>
      <c r="Q47" s="94"/>
      <c r="R47" s="94"/>
      <c r="S47" s="94"/>
      <c r="T47" s="94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</row>
    <row r="48" spans="2:38" ht="15.75">
      <c r="B48" s="115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4"/>
      <c r="N48" s="94"/>
      <c r="O48" s="94"/>
      <c r="P48" s="94"/>
      <c r="Q48" s="94"/>
      <c r="R48" s="94"/>
      <c r="S48" s="94"/>
      <c r="T48" s="94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2:38" ht="15.75">
      <c r="B49" s="115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4"/>
      <c r="N49" s="94"/>
      <c r="O49" s="94"/>
      <c r="P49" s="94"/>
      <c r="Q49" s="94"/>
      <c r="R49" s="94"/>
      <c r="S49" s="94"/>
      <c r="T49" s="94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2:38" ht="15.75">
      <c r="B50" s="115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4"/>
      <c r="O50" s="94"/>
      <c r="P50" s="94"/>
      <c r="Q50" s="94"/>
      <c r="R50" s="94"/>
      <c r="S50" s="94"/>
      <c r="T50" s="94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2:38" ht="15.75">
      <c r="B51" s="115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4"/>
      <c r="O51" s="94"/>
      <c r="P51" s="94"/>
      <c r="Q51" s="94"/>
      <c r="R51" s="94"/>
      <c r="S51" s="94"/>
      <c r="T51" s="94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2:38" ht="15.75">
      <c r="B52" s="115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4"/>
      <c r="N52" s="94"/>
      <c r="O52" s="94"/>
      <c r="P52" s="94"/>
      <c r="Q52" s="94"/>
      <c r="R52" s="94"/>
      <c r="S52" s="94"/>
      <c r="T52" s="94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2:38" ht="15.75">
      <c r="B53" s="115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4"/>
      <c r="N53" s="94"/>
      <c r="O53" s="94"/>
      <c r="P53" s="94"/>
      <c r="Q53" s="94"/>
      <c r="R53" s="94"/>
      <c r="S53" s="94"/>
      <c r="T53" s="94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2:38" ht="15.75">
      <c r="B54" s="115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4"/>
      <c r="N54" s="94"/>
      <c r="O54" s="94"/>
      <c r="P54" s="94"/>
      <c r="Q54" s="94"/>
      <c r="R54" s="94"/>
      <c r="S54" s="94"/>
      <c r="T54" s="94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2:38" ht="15.75">
      <c r="B55" s="115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/>
      <c r="N55" s="94"/>
      <c r="O55" s="94"/>
      <c r="P55" s="94"/>
      <c r="Q55" s="94"/>
      <c r="R55" s="94"/>
      <c r="S55" s="94"/>
      <c r="T55" s="94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2:38" ht="15.75" hidden="1">
      <c r="B56" s="115" t="s">
        <v>11</v>
      </c>
      <c r="C56" s="93">
        <f aca="true" t="shared" si="15" ref="C56:L56">IF(OR(C23=$C$16+$C$89,C23=$C$16+$C$89*2,C23=$C$16+$C$89*3,C23=$C$16+$C$89*4,C23=$C$16+$C$89*5,C23=$C$16+$C$89*6),$C$20,0)</f>
        <v>0</v>
      </c>
      <c r="D56" s="93">
        <f t="shared" si="15"/>
        <v>0</v>
      </c>
      <c r="E56" s="93">
        <f t="shared" si="15"/>
        <v>0</v>
      </c>
      <c r="F56" s="93">
        <f t="shared" si="15"/>
        <v>0</v>
      </c>
      <c r="G56" s="93">
        <f t="shared" si="15"/>
        <v>0</v>
      </c>
      <c r="H56" s="93">
        <f t="shared" si="15"/>
        <v>0</v>
      </c>
      <c r="I56" s="93">
        <f t="shared" si="15"/>
        <v>0</v>
      </c>
      <c r="J56" s="93">
        <f t="shared" si="15"/>
        <v>0</v>
      </c>
      <c r="K56" s="93">
        <f t="shared" si="15"/>
        <v>0</v>
      </c>
      <c r="L56" s="93">
        <f t="shared" si="15"/>
        <v>0</v>
      </c>
      <c r="M56" s="94"/>
      <c r="N56" s="94"/>
      <c r="O56" s="94"/>
      <c r="P56" s="94"/>
      <c r="Q56" s="94"/>
      <c r="R56" s="94"/>
      <c r="S56" s="94"/>
      <c r="T56" s="94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2:38" ht="15.75" hidden="1">
      <c r="B57" s="115"/>
      <c r="C57" s="93"/>
      <c r="D57" s="93">
        <f aca="true" t="shared" si="16" ref="D57:L57">IF(OR(D23=$D$16+$C$89,D23=$D$16+$C$89*2,D23=$D$16+$C$89*3,D23=$D$16+$C$89*4,D23=$D$16+$C$89*5,D23=$D$16+$C$89*6),$D$20,0)</f>
        <v>0</v>
      </c>
      <c r="E57" s="93">
        <f t="shared" si="16"/>
        <v>0</v>
      </c>
      <c r="F57" s="93">
        <f t="shared" si="16"/>
        <v>0</v>
      </c>
      <c r="G57" s="93">
        <f t="shared" si="16"/>
        <v>0</v>
      </c>
      <c r="H57" s="93">
        <f t="shared" si="16"/>
        <v>0</v>
      </c>
      <c r="I57" s="93">
        <f t="shared" si="16"/>
        <v>0</v>
      </c>
      <c r="J57" s="93">
        <f t="shared" si="16"/>
        <v>0</v>
      </c>
      <c r="K57" s="93">
        <f t="shared" si="16"/>
        <v>0</v>
      </c>
      <c r="L57" s="93">
        <f t="shared" si="16"/>
        <v>0</v>
      </c>
      <c r="M57" s="94"/>
      <c r="N57" s="94"/>
      <c r="O57" s="94"/>
      <c r="P57" s="94"/>
      <c r="Q57" s="94"/>
      <c r="R57" s="94"/>
      <c r="S57" s="94"/>
      <c r="T57" s="94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2:38" ht="15.75" hidden="1">
      <c r="B58" s="115"/>
      <c r="C58" s="93"/>
      <c r="D58" s="93"/>
      <c r="E58" s="93">
        <f aca="true" t="shared" si="17" ref="E58:L58">IF(OR(E23=$E$16+$C$89,E23=$E$16+$C$89*2,E23=$E$16+$C$89*3,E23=$E$16+$C$89*4,E23=$E$16+$C$89*5,E23=$E$16+$C$89*6),$E$20,0)</f>
        <v>0</v>
      </c>
      <c r="F58" s="93">
        <f t="shared" si="17"/>
        <v>0</v>
      </c>
      <c r="G58" s="93">
        <f t="shared" si="17"/>
        <v>0</v>
      </c>
      <c r="H58" s="93">
        <f t="shared" si="17"/>
        <v>0</v>
      </c>
      <c r="I58" s="93">
        <f t="shared" si="17"/>
        <v>0</v>
      </c>
      <c r="J58" s="93">
        <f t="shared" si="17"/>
        <v>0</v>
      </c>
      <c r="K58" s="93">
        <f t="shared" si="17"/>
        <v>0</v>
      </c>
      <c r="L58" s="93">
        <f t="shared" si="17"/>
        <v>0</v>
      </c>
      <c r="M58" s="94"/>
      <c r="N58" s="94"/>
      <c r="O58" s="94"/>
      <c r="P58" s="94"/>
      <c r="Q58" s="94"/>
      <c r="R58" s="94"/>
      <c r="S58" s="94"/>
      <c r="T58" s="94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2:38" ht="15.75" hidden="1">
      <c r="B59" s="115"/>
      <c r="C59" s="93"/>
      <c r="D59" s="93"/>
      <c r="E59" s="93"/>
      <c r="F59" s="93">
        <f aca="true" t="shared" si="18" ref="F59:L59">IF(OR(F23=$F$16+$C$89,F23=$F$16+$C$89*2,F23=$F$16+$C$89*3,F23=$F$16+$C$89*4,F23=$F$16+$C$89*5,F23=$F$16+$C$89*6),$F$20,0)</f>
        <v>0</v>
      </c>
      <c r="G59" s="93">
        <f t="shared" si="18"/>
        <v>0</v>
      </c>
      <c r="H59" s="93">
        <f t="shared" si="18"/>
        <v>0</v>
      </c>
      <c r="I59" s="93">
        <f t="shared" si="18"/>
        <v>0</v>
      </c>
      <c r="J59" s="93">
        <f t="shared" si="18"/>
        <v>0</v>
      </c>
      <c r="K59" s="93">
        <f t="shared" si="18"/>
        <v>0</v>
      </c>
      <c r="L59" s="93">
        <f t="shared" si="18"/>
        <v>0</v>
      </c>
      <c r="M59" s="94"/>
      <c r="N59" s="94"/>
      <c r="O59" s="94"/>
      <c r="P59" s="94"/>
      <c r="Q59" s="94"/>
      <c r="R59" s="94"/>
      <c r="S59" s="94"/>
      <c r="T59" s="94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2:38" ht="15.75" hidden="1">
      <c r="B60" s="115"/>
      <c r="C60" s="93"/>
      <c r="D60" s="93"/>
      <c r="E60" s="93"/>
      <c r="F60" s="93"/>
      <c r="G60" s="93">
        <f aca="true" t="shared" si="19" ref="G60:L60">IF(OR(G23=$G$16+$C$89,G23=$G$16+$C$89*2,G23=$G$16+$C$89*3,G23=$G$16+$C$89*4,G23=$G$16+$C$89*5,G23=$G$16+$C$89*6),$G$20,0)</f>
        <v>0</v>
      </c>
      <c r="H60" s="93">
        <f t="shared" si="19"/>
        <v>0</v>
      </c>
      <c r="I60" s="93">
        <f t="shared" si="19"/>
        <v>0</v>
      </c>
      <c r="J60" s="93">
        <f t="shared" si="19"/>
        <v>0</v>
      </c>
      <c r="K60" s="93">
        <f t="shared" si="19"/>
        <v>0</v>
      </c>
      <c r="L60" s="93">
        <f t="shared" si="19"/>
        <v>0</v>
      </c>
      <c r="M60" s="94"/>
      <c r="N60" s="94"/>
      <c r="O60" s="94"/>
      <c r="P60" s="94"/>
      <c r="Q60" s="94"/>
      <c r="R60" s="94"/>
      <c r="S60" s="94"/>
      <c r="T60" s="94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2:38" ht="15.75" hidden="1">
      <c r="B61" s="115"/>
      <c r="C61" s="93"/>
      <c r="D61" s="93"/>
      <c r="E61" s="93"/>
      <c r="F61" s="93"/>
      <c r="G61" s="93"/>
      <c r="H61" s="93">
        <f>IF(OR(H23=$H$16+$C$89,H23=$H$16+$C$89*2,H23=$H$16+$C$89*3,H23=$H$16+$C$89*4,H23=$H$16+$C$89*5,H23=$H$16+$C$89*6),$H$20,0)</f>
        <v>0</v>
      </c>
      <c r="I61" s="93">
        <f>IF(OR(I23=$H$16+$C$89,I23=$H$16+$C$89*2,I23=$H$16+$C$89*3,I23=$H$16+$C$89*4,I23=$H$16+$C$89*5,I23=$H$16+$C$89*6),$H$20,0)</f>
        <v>0</v>
      </c>
      <c r="J61" s="93">
        <f>IF(OR(J23=$H$16+$C$89,J23=$H$16+$C$89*2,J23=$H$16+$C$89*3,J23=$H$16+$C$89*4,J23=$H$16+$C$89*5,J23=$H$16+$C$89*6),$H$20,0)</f>
        <v>0</v>
      </c>
      <c r="K61" s="93">
        <f>IF(OR(K23=$H$16+$C$89,K23=$H$16+$C$89*2,K23=$H$16+$C$89*3,K23=$H$16+$C$89*4,K23=$H$16+$C$89*5,K23=$H$16+$C$89*6),$H$20,0)</f>
        <v>0</v>
      </c>
      <c r="L61" s="93">
        <f>IF(OR(L23=$H$16+$C$89,L23=$H$16+$C$89*2,L23=$H$16+$C$89*3,L23=$H$16+$C$89*4,L23=$H$16+$C$89*5,L23=$H$16+$C$89*6),$H$20,0)</f>
        <v>0</v>
      </c>
      <c r="M61" s="94"/>
      <c r="N61" s="94"/>
      <c r="O61" s="94"/>
      <c r="P61" s="94"/>
      <c r="Q61" s="94"/>
      <c r="R61" s="94"/>
      <c r="S61" s="94"/>
      <c r="T61" s="94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2:38" ht="15.75" hidden="1">
      <c r="B62" s="115"/>
      <c r="C62" s="93"/>
      <c r="D62" s="93"/>
      <c r="E62" s="93"/>
      <c r="F62" s="93"/>
      <c r="G62" s="93"/>
      <c r="H62" s="93"/>
      <c r="I62" s="93">
        <f>IF(OR(I23=$I$16+$C$89,I23=$I$16+$C$89*2,I23=$I$16+$C$89*3,I23=$I$16+$C$89*4,I23=$I$16+$C$89*5,I23=$I$16+$C$89*6),$I$20,0)</f>
        <v>0</v>
      </c>
      <c r="J62" s="93">
        <f>IF(OR(J23=$I$16+$C$89,J23=$I$16+$C$89*2,J23=$I$16+$C$89*3,J23=$I$16+$C$89*4,J23=$I$16+$C$89*5,J23=$I$16+$C$89*6),$I$20,0)</f>
        <v>0</v>
      </c>
      <c r="K62" s="93">
        <f>IF(OR(K23=$I$16+$C$89,K23=$I$16+$C$89*2,K23=$I$16+$C$89*3,K23=$I$16+$C$89*4,K23=$I$16+$C$89*5,K23=$I$16+$C$89*6),$I$20,0)</f>
        <v>0</v>
      </c>
      <c r="L62" s="93">
        <f>IF(OR(L23=$I$16+$C$89,L23=$I$16+$C$89*2,L23=$I$16+$C$89*3,L23=$I$16+$C$89*4,L23=$I$16+$C$89*5,L23=$I$16+$C$89*6),$I$20,0)</f>
        <v>0</v>
      </c>
      <c r="M62" s="94"/>
      <c r="N62" s="94"/>
      <c r="O62" s="94"/>
      <c r="P62" s="94"/>
      <c r="Q62" s="94"/>
      <c r="R62" s="94"/>
      <c r="S62" s="94"/>
      <c r="T62" s="94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2:38" ht="15.75" hidden="1">
      <c r="B63" s="115"/>
      <c r="C63" s="93"/>
      <c r="D63" s="93"/>
      <c r="E63" s="93"/>
      <c r="F63" s="93"/>
      <c r="G63" s="93"/>
      <c r="H63" s="93"/>
      <c r="I63" s="93"/>
      <c r="J63" s="93">
        <f>IF(OR(J23=$J$16+$C$89,J23=$J$16+$C$89*2,J23=$J$16+$C$89*3,J23=$J$16+$C$89*4,J23=$J$16+$C$89*5,J23=$J$16+$C$89*6),$J$20,0)</f>
        <v>0</v>
      </c>
      <c r="K63" s="93">
        <f>IF(OR(K23=$J$16+$C$89,K23=$J$16+$C$89*2,K23=$J$16+$C$89*3,K23=$J$16+$C$89*4,K23=$J$16+$C$89*5,K23=$J$16+$C$89*6),$J$20,0)</f>
        <v>0</v>
      </c>
      <c r="L63" s="93">
        <f>IF(OR(L23=$J$16+$C$89,L23=$J$16+$C$89*2,L23=$J$16+$C$89*3,L23=$J$16+$C$89*4,L23=$J$16+$C$89*5,L23=$J$16+$C$89*6),$J$20,0)</f>
        <v>0</v>
      </c>
      <c r="M63" s="94"/>
      <c r="N63" s="94"/>
      <c r="O63" s="94"/>
      <c r="P63" s="94"/>
      <c r="Q63" s="94"/>
      <c r="R63" s="94"/>
      <c r="S63" s="94"/>
      <c r="T63" s="94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2:38" ht="15.75" hidden="1">
      <c r="B64" s="115"/>
      <c r="C64" s="93"/>
      <c r="D64" s="93"/>
      <c r="E64" s="93"/>
      <c r="F64" s="93"/>
      <c r="G64" s="93"/>
      <c r="H64" s="93"/>
      <c r="I64" s="93"/>
      <c r="J64" s="93"/>
      <c r="K64" s="93">
        <f>IF(OR(K23=$K$16+$C$89,K23=$K$16+$C$89*2,K23=$K$16+$C$89*3,K23=$K$16+$C$89*4,K23=$K$16+$C$89*5,K23=$K$16+$C$89*6),$K$20,0)</f>
        <v>0</v>
      </c>
      <c r="L64" s="93">
        <f>IF(OR(L23=$K$16+$C$89,L23=$K$16+$C$89*2,L23=$K$16+$C$89*3,L23=$K$16+$C$89*4,L23=$K$16+$C$89*5,L23=$K$16+$C$89*6),$K$20,0)</f>
        <v>0</v>
      </c>
      <c r="M64" s="94"/>
      <c r="N64" s="94"/>
      <c r="O64" s="94"/>
      <c r="P64" s="94"/>
      <c r="Q64" s="94"/>
      <c r="R64" s="94"/>
      <c r="S64" s="94"/>
      <c r="T64" s="94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2:38" ht="15.75" hidden="1">
      <c r="B65" s="115"/>
      <c r="C65" s="93"/>
      <c r="D65" s="93"/>
      <c r="E65" s="93"/>
      <c r="F65" s="93"/>
      <c r="G65" s="93"/>
      <c r="H65" s="93"/>
      <c r="I65" s="93"/>
      <c r="J65" s="93"/>
      <c r="K65" s="93"/>
      <c r="L65" s="93">
        <f>IF(OR(L23=$L$16+$C$89,L23=$L$16+$C$89*2,L23=$L$16+$C$89*3,L23=$L$16+$C$89*4,L23=$L$16+$C$89*5,L23=$L$16+$C$89*6),$L$20,0)</f>
        <v>0</v>
      </c>
      <c r="M65" s="94"/>
      <c r="N65" s="94"/>
      <c r="O65" s="94"/>
      <c r="P65" s="94"/>
      <c r="Q65" s="94"/>
      <c r="R65" s="94"/>
      <c r="S65" s="94"/>
      <c r="T65" s="94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2:38" ht="15.75" hidden="1">
      <c r="B66" s="115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4"/>
      <c r="N66" s="94"/>
      <c r="O66" s="94"/>
      <c r="P66" s="94"/>
      <c r="Q66" s="94"/>
      <c r="R66" s="94"/>
      <c r="S66" s="94"/>
      <c r="T66" s="94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2:38" ht="15.75" hidden="1">
      <c r="B67" s="11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4"/>
      <c r="N67" s="94"/>
      <c r="O67" s="94"/>
      <c r="P67" s="94"/>
      <c r="Q67" s="94"/>
      <c r="R67" s="94"/>
      <c r="S67" s="94"/>
      <c r="T67" s="94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2:38" ht="15.75" hidden="1">
      <c r="B68" s="115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4"/>
      <c r="N68" s="94"/>
      <c r="O68" s="94"/>
      <c r="P68" s="94"/>
      <c r="Q68" s="94"/>
      <c r="R68" s="94"/>
      <c r="S68" s="94"/>
      <c r="T68" s="94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2:38" ht="15.75" hidden="1">
      <c r="B69" s="115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4"/>
      <c r="N69" s="94"/>
      <c r="O69" s="94"/>
      <c r="P69" s="94"/>
      <c r="Q69" s="94"/>
      <c r="R69" s="94"/>
      <c r="S69" s="94"/>
      <c r="T69" s="94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2:38" ht="15.75" hidden="1">
      <c r="B70" s="115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94"/>
      <c r="O70" s="94"/>
      <c r="P70" s="94"/>
      <c r="Q70" s="94"/>
      <c r="R70" s="94"/>
      <c r="S70" s="94"/>
      <c r="T70" s="94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2:38" ht="15.75" hidden="1">
      <c r="B71" s="115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94"/>
      <c r="O71" s="94"/>
      <c r="P71" s="94"/>
      <c r="Q71" s="94"/>
      <c r="R71" s="94"/>
      <c r="S71" s="94"/>
      <c r="T71" s="94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2:38" ht="15.75" hidden="1">
      <c r="B72" s="115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94"/>
      <c r="O72" s="94"/>
      <c r="P72" s="94"/>
      <c r="Q72" s="94"/>
      <c r="R72" s="94"/>
      <c r="S72" s="94"/>
      <c r="T72" s="94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2:38" ht="15.75" hidden="1">
      <c r="B73" s="115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4"/>
      <c r="N73" s="94"/>
      <c r="O73" s="94"/>
      <c r="P73" s="94"/>
      <c r="Q73" s="94"/>
      <c r="R73" s="94"/>
      <c r="S73" s="94"/>
      <c r="T73" s="94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2:38" ht="15.75" hidden="1">
      <c r="B74" s="115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4"/>
      <c r="N74" s="94"/>
      <c r="O74" s="94"/>
      <c r="P74" s="94"/>
      <c r="Q74" s="94"/>
      <c r="R74" s="94"/>
      <c r="S74" s="94"/>
      <c r="T74" s="94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2:38" ht="15.75" hidden="1">
      <c r="B75" s="115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4"/>
      <c r="N75" s="94"/>
      <c r="O75" s="94"/>
      <c r="P75" s="94"/>
      <c r="Q75" s="94"/>
      <c r="R75" s="94"/>
      <c r="S75" s="94"/>
      <c r="T75" s="94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ht="15.75">
      <c r="B76" s="105"/>
    </row>
    <row r="77" ht="15.75">
      <c r="B77" s="86" t="s">
        <v>104</v>
      </c>
    </row>
    <row r="78" spans="2:38" ht="15.75">
      <c r="B78" s="70" t="s">
        <v>1</v>
      </c>
      <c r="C78" s="97">
        <f>+'[1]Financieros'!D7</f>
        <v>2010</v>
      </c>
      <c r="D78" s="97">
        <f>+'[1]Financieros'!E7</f>
        <v>2011</v>
      </c>
      <c r="E78" s="97">
        <f>+'[1]Financieros'!F7</f>
        <v>2012</v>
      </c>
      <c r="F78" s="97">
        <f>+'[1]Financieros'!G7</f>
        <v>2013</v>
      </c>
      <c r="G78" s="97">
        <f>+'[1]Financieros'!H7</f>
        <v>2014</v>
      </c>
      <c r="H78" s="97">
        <f>+'[1]Financieros'!I7</f>
        <v>2015</v>
      </c>
      <c r="I78" s="97">
        <f>+'[1]Financieros'!J7</f>
        <v>2016</v>
      </c>
      <c r="J78" s="97">
        <f>+'[1]Financieros'!K7</f>
        <v>2017</v>
      </c>
      <c r="K78" s="97">
        <f>+'[1]Financieros'!L7</f>
        <v>2018</v>
      </c>
      <c r="L78" s="97">
        <f>+'[1]Financieros'!M7</f>
        <v>2019</v>
      </c>
      <c r="M78" s="91"/>
      <c r="N78" s="91"/>
      <c r="O78" s="91"/>
      <c r="P78" s="91"/>
      <c r="Q78" s="91"/>
      <c r="R78" s="91"/>
      <c r="S78" s="91"/>
      <c r="T78" s="91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  <row r="79" spans="2:38" ht="15.75">
      <c r="B79" s="111" t="s">
        <v>8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  <c r="N79" s="94"/>
      <c r="O79" s="94"/>
      <c r="P79" s="94"/>
      <c r="Q79" s="94"/>
      <c r="R79" s="94"/>
      <c r="S79" s="94"/>
      <c r="T79" s="94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</row>
    <row r="80" spans="2:38" ht="15.75">
      <c r="B80" s="115" t="s">
        <v>9</v>
      </c>
      <c r="C80" s="93">
        <f>C9+C18+SUM(C25:C36)</f>
        <v>-0.20030314232297142</v>
      </c>
      <c r="D80" s="93">
        <f aca="true" t="shared" si="20" ref="D80:L80">D9+D18+SUM(D25:D36)</f>
        <v>3.605304726208496</v>
      </c>
      <c r="E80" s="93">
        <f t="shared" si="20"/>
        <v>3.81094716374482</v>
      </c>
      <c r="F80" s="93">
        <f t="shared" si="20"/>
        <v>4.028343846654562</v>
      </c>
      <c r="G80" s="93">
        <f t="shared" si="20"/>
        <v>4.258167793575647</v>
      </c>
      <c r="H80" s="93">
        <f t="shared" si="20"/>
        <v>4.501130577145958</v>
      </c>
      <c r="I80" s="93">
        <f t="shared" si="20"/>
        <v>4.75798468758858</v>
      </c>
      <c r="J80" s="93">
        <f t="shared" si="20"/>
        <v>5.029525660242994</v>
      </c>
      <c r="K80" s="93">
        <f t="shared" si="20"/>
        <v>5.316594693300981</v>
      </c>
      <c r="L80" s="93">
        <f t="shared" si="20"/>
        <v>498.20806124120963</v>
      </c>
      <c r="M80" s="94"/>
      <c r="N80" s="94"/>
      <c r="O80" s="94"/>
      <c r="P80" s="94"/>
      <c r="Q80" s="94"/>
      <c r="R80" s="94"/>
      <c r="S80" s="94"/>
      <c r="T80" s="94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</row>
    <row r="81" spans="2:38" ht="15.75">
      <c r="B81" s="115" t="s">
        <v>10</v>
      </c>
      <c r="C81" s="93">
        <f>C11+C19+SUM(C38:C54)</f>
        <v>0</v>
      </c>
      <c r="D81" s="93">
        <f aca="true" t="shared" si="21" ref="D81:L81">D11+D19+SUM(D38:D54)</f>
        <v>0</v>
      </c>
      <c r="E81" s="93">
        <f t="shared" si="21"/>
        <v>0</v>
      </c>
      <c r="F81" s="93">
        <f t="shared" si="21"/>
        <v>0</v>
      </c>
      <c r="G81" s="93">
        <f t="shared" si="21"/>
        <v>1731.6</v>
      </c>
      <c r="H81" s="93">
        <f t="shared" si="21"/>
        <v>0</v>
      </c>
      <c r="I81" s="93">
        <f t="shared" si="21"/>
        <v>0</v>
      </c>
      <c r="J81" s="93">
        <f t="shared" si="21"/>
        <v>0</v>
      </c>
      <c r="K81" s="93">
        <f t="shared" si="21"/>
        <v>0</v>
      </c>
      <c r="L81" s="93">
        <f t="shared" si="21"/>
        <v>1731.6</v>
      </c>
      <c r="M81" s="94"/>
      <c r="N81" s="94"/>
      <c r="O81" s="94"/>
      <c r="P81" s="94"/>
      <c r="Q81" s="94"/>
      <c r="R81" s="94"/>
      <c r="S81" s="94"/>
      <c r="T81" s="94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</row>
    <row r="82" spans="2:38" ht="15.75" hidden="1">
      <c r="B82" s="115" t="s">
        <v>11</v>
      </c>
      <c r="C82" s="93">
        <f>C13+C20+SUM(C56:C74)</f>
        <v>0</v>
      </c>
      <c r="D82" s="93">
        <f aca="true" t="shared" si="22" ref="D82:L82">D13+D20+SUM(D56:D74)</f>
        <v>0</v>
      </c>
      <c r="E82" s="93">
        <f t="shared" si="22"/>
        <v>0</v>
      </c>
      <c r="F82" s="93">
        <f t="shared" si="22"/>
        <v>0</v>
      </c>
      <c r="G82" s="93">
        <f t="shared" si="22"/>
        <v>0</v>
      </c>
      <c r="H82" s="93">
        <f t="shared" si="22"/>
        <v>0</v>
      </c>
      <c r="I82" s="93">
        <f t="shared" si="22"/>
        <v>0</v>
      </c>
      <c r="J82" s="93">
        <f t="shared" si="22"/>
        <v>0</v>
      </c>
      <c r="K82" s="93">
        <f t="shared" si="22"/>
        <v>0</v>
      </c>
      <c r="L82" s="93">
        <f t="shared" si="22"/>
        <v>0</v>
      </c>
      <c r="M82" s="94"/>
      <c r="N82" s="94"/>
      <c r="O82" s="94"/>
      <c r="P82" s="94"/>
      <c r="Q82" s="94"/>
      <c r="R82" s="94"/>
      <c r="S82" s="94"/>
      <c r="T82" s="94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</row>
    <row r="83" spans="2:38" ht="15.75">
      <c r="B83" s="116" t="s">
        <v>2</v>
      </c>
      <c r="C83" s="117">
        <f aca="true" t="shared" si="23" ref="C83:K83">SUM(C80:C82)</f>
        <v>-0.20030314232297142</v>
      </c>
      <c r="D83" s="117">
        <f t="shared" si="23"/>
        <v>3.605304726208496</v>
      </c>
      <c r="E83" s="117">
        <f t="shared" si="23"/>
        <v>3.81094716374482</v>
      </c>
      <c r="F83" s="117">
        <f t="shared" si="23"/>
        <v>4.028343846654562</v>
      </c>
      <c r="G83" s="117">
        <f t="shared" si="23"/>
        <v>1735.8581677935756</v>
      </c>
      <c r="H83" s="117">
        <f t="shared" si="23"/>
        <v>4.501130577145958</v>
      </c>
      <c r="I83" s="117">
        <f t="shared" si="23"/>
        <v>4.75798468758858</v>
      </c>
      <c r="J83" s="117">
        <f t="shared" si="23"/>
        <v>5.029525660242994</v>
      </c>
      <c r="K83" s="117">
        <f t="shared" si="23"/>
        <v>5.316594693300981</v>
      </c>
      <c r="L83" s="117">
        <f>SUM(L80:L82)</f>
        <v>2229.8080612412095</v>
      </c>
      <c r="M83" s="106"/>
      <c r="N83" s="107"/>
      <c r="O83" s="107"/>
      <c r="P83" s="107"/>
      <c r="Q83" s="107"/>
      <c r="R83" s="107"/>
      <c r="S83" s="107"/>
      <c r="T83" s="107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</row>
    <row r="84" spans="2:38" ht="15.75">
      <c r="B84" s="124" t="s">
        <v>3</v>
      </c>
      <c r="C84" s="125">
        <f>+C83</f>
        <v>-0.20030314232297142</v>
      </c>
      <c r="D84" s="125">
        <f aca="true" t="shared" si="24" ref="D84:K84">+C84+D83</f>
        <v>3.4050015838855243</v>
      </c>
      <c r="E84" s="125">
        <f t="shared" si="24"/>
        <v>7.215948747630344</v>
      </c>
      <c r="F84" s="125">
        <f t="shared" si="24"/>
        <v>11.244292594284907</v>
      </c>
      <c r="G84" s="125">
        <f t="shared" si="24"/>
        <v>1747.1024603878604</v>
      </c>
      <c r="H84" s="125">
        <f t="shared" si="24"/>
        <v>1751.6035909650063</v>
      </c>
      <c r="I84" s="125">
        <f t="shared" si="24"/>
        <v>1756.3615756525949</v>
      </c>
      <c r="J84" s="125">
        <f t="shared" si="24"/>
        <v>1761.391101312838</v>
      </c>
      <c r="K84" s="125">
        <f t="shared" si="24"/>
        <v>1766.7076960061388</v>
      </c>
      <c r="L84" s="125">
        <f>+K84+L83</f>
        <v>3996.515757247348</v>
      </c>
      <c r="M84" s="106"/>
      <c r="N84" s="107"/>
      <c r="O84" s="107"/>
      <c r="P84" s="107"/>
      <c r="Q84" s="107"/>
      <c r="R84" s="107"/>
      <c r="S84" s="107"/>
      <c r="T84" s="107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</row>
    <row r="85" spans="3:38" ht="27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</row>
    <row r="86" spans="2:12" ht="15.75">
      <c r="B86" s="116" t="s">
        <v>4</v>
      </c>
      <c r="C86" s="123" t="s">
        <v>15</v>
      </c>
      <c r="D86" s="123" t="s">
        <v>5</v>
      </c>
      <c r="E86" s="96"/>
      <c r="F86" s="96"/>
      <c r="G86" s="96"/>
      <c r="H86" s="96"/>
      <c r="I86" s="96"/>
      <c r="J86" s="96"/>
      <c r="K86" s="96"/>
      <c r="L86" s="96"/>
    </row>
    <row r="87" spans="2:12" ht="15.75">
      <c r="B87" s="118" t="s">
        <v>12</v>
      </c>
      <c r="C87" s="99">
        <f>+'[1]Financieros'!C33</f>
        <v>10</v>
      </c>
      <c r="D87" s="119">
        <f>1/'[1]Financieros'!C33</f>
        <v>0.1</v>
      </c>
      <c r="E87" s="96"/>
      <c r="F87" s="96"/>
      <c r="G87" s="96"/>
      <c r="H87" s="96"/>
      <c r="I87" s="96"/>
      <c r="J87" s="96"/>
      <c r="K87" s="96"/>
      <c r="L87" s="96"/>
    </row>
    <row r="88" spans="2:12" ht="15.75">
      <c r="B88" s="118" t="s">
        <v>13</v>
      </c>
      <c r="C88" s="108">
        <f>+'[1]Financieros'!C34</f>
        <v>5</v>
      </c>
      <c r="D88" s="119">
        <f>1/'[1]Financieros'!C34</f>
        <v>0.2</v>
      </c>
      <c r="E88" s="96"/>
      <c r="F88" s="96"/>
      <c r="G88" s="96"/>
      <c r="H88" s="96"/>
      <c r="I88" s="96"/>
      <c r="J88" s="96"/>
      <c r="K88" s="96"/>
      <c r="L88" s="96"/>
    </row>
    <row r="89" spans="2:12" ht="15.75" hidden="1">
      <c r="B89" s="118" t="s">
        <v>14</v>
      </c>
      <c r="C89" s="108"/>
      <c r="D89" s="119"/>
      <c r="E89" s="96"/>
      <c r="F89" s="96"/>
      <c r="G89" s="96"/>
      <c r="H89" s="96"/>
      <c r="I89" s="96"/>
      <c r="J89" s="96"/>
      <c r="K89" s="96"/>
      <c r="L89" s="96"/>
    </row>
    <row r="90" spans="3:12" ht="13.5" customHeight="1"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3:12" ht="15.75"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3" ht="15.75">
      <c r="B92" s="70" t="s">
        <v>16</v>
      </c>
      <c r="C92" s="97"/>
      <c r="D92" s="97">
        <f>+C78</f>
        <v>2010</v>
      </c>
      <c r="E92" s="97">
        <f aca="true" t="shared" si="25" ref="E92:L92">+D78</f>
        <v>2011</v>
      </c>
      <c r="F92" s="97">
        <f t="shared" si="25"/>
        <v>2012</v>
      </c>
      <c r="G92" s="97">
        <f t="shared" si="25"/>
        <v>2013</v>
      </c>
      <c r="H92" s="97">
        <f t="shared" si="25"/>
        <v>2014</v>
      </c>
      <c r="I92" s="97">
        <f t="shared" si="25"/>
        <v>2015</v>
      </c>
      <c r="J92" s="97">
        <f t="shared" si="25"/>
        <v>2016</v>
      </c>
      <c r="K92" s="97">
        <f t="shared" si="25"/>
        <v>2017</v>
      </c>
      <c r="L92" s="97">
        <f t="shared" si="25"/>
        <v>2018</v>
      </c>
      <c r="M92" s="97">
        <f>+L78</f>
        <v>2019</v>
      </c>
    </row>
    <row r="93" spans="2:13" ht="15.75">
      <c r="B93" s="126" t="s">
        <v>69</v>
      </c>
      <c r="C93" s="127">
        <v>0</v>
      </c>
      <c r="D93" s="126">
        <v>1</v>
      </c>
      <c r="E93" s="126">
        <f aca="true" t="shared" si="26" ref="E93:M93">+D93+1</f>
        <v>2</v>
      </c>
      <c r="F93" s="126">
        <f t="shared" si="26"/>
        <v>3</v>
      </c>
      <c r="G93" s="126">
        <f t="shared" si="26"/>
        <v>4</v>
      </c>
      <c r="H93" s="126">
        <f t="shared" si="26"/>
        <v>5</v>
      </c>
      <c r="I93" s="126">
        <f t="shared" si="26"/>
        <v>6</v>
      </c>
      <c r="J93" s="126">
        <f t="shared" si="26"/>
        <v>7</v>
      </c>
      <c r="K93" s="126">
        <f t="shared" si="26"/>
        <v>8</v>
      </c>
      <c r="L93" s="126">
        <f t="shared" si="26"/>
        <v>9</v>
      </c>
      <c r="M93" s="126">
        <f t="shared" si="26"/>
        <v>10</v>
      </c>
    </row>
    <row r="94" spans="2:13" ht="15.75">
      <c r="B94" s="120">
        <v>1</v>
      </c>
      <c r="C94" s="93"/>
      <c r="D94" s="93">
        <f aca="true" t="shared" si="27" ref="D94:L94">IF(D$93&lt;=1/$D$87,$C80*$D$87,0)</f>
        <v>-0.020030314232297144</v>
      </c>
      <c r="E94" s="93">
        <f t="shared" si="27"/>
        <v>-0.020030314232297144</v>
      </c>
      <c r="F94" s="93">
        <f t="shared" si="27"/>
        <v>-0.020030314232297144</v>
      </c>
      <c r="G94" s="93">
        <f t="shared" si="27"/>
        <v>-0.020030314232297144</v>
      </c>
      <c r="H94" s="93">
        <f t="shared" si="27"/>
        <v>-0.020030314232297144</v>
      </c>
      <c r="I94" s="93">
        <f t="shared" si="27"/>
        <v>-0.020030314232297144</v>
      </c>
      <c r="J94" s="93">
        <f t="shared" si="27"/>
        <v>-0.020030314232297144</v>
      </c>
      <c r="K94" s="93">
        <f t="shared" si="27"/>
        <v>-0.020030314232297144</v>
      </c>
      <c r="L94" s="93">
        <f t="shared" si="27"/>
        <v>-0.020030314232297144</v>
      </c>
      <c r="M94" s="93">
        <f>IF(M$93&lt;=1/$D$87,$C80*$D$87,0)</f>
        <v>-0.020030314232297144</v>
      </c>
    </row>
    <row r="95" spans="2:13" ht="15.75">
      <c r="B95" s="120">
        <f>+B94+1</f>
        <v>2</v>
      </c>
      <c r="C95" s="93"/>
      <c r="D95" s="93"/>
      <c r="E95" s="93">
        <f aca="true" t="shared" si="28" ref="E95:L95">IF(E$93-1&lt;=1/$D$87,$D80*$D$87,0)</f>
        <v>0.3605304726208496</v>
      </c>
      <c r="F95" s="93">
        <f t="shared" si="28"/>
        <v>0.3605304726208496</v>
      </c>
      <c r="G95" s="93">
        <f t="shared" si="28"/>
        <v>0.3605304726208496</v>
      </c>
      <c r="H95" s="93">
        <f t="shared" si="28"/>
        <v>0.3605304726208496</v>
      </c>
      <c r="I95" s="93">
        <f t="shared" si="28"/>
        <v>0.3605304726208496</v>
      </c>
      <c r="J95" s="93">
        <f t="shared" si="28"/>
        <v>0.3605304726208496</v>
      </c>
      <c r="K95" s="93">
        <f t="shared" si="28"/>
        <v>0.3605304726208496</v>
      </c>
      <c r="L95" s="93">
        <f t="shared" si="28"/>
        <v>0.3605304726208496</v>
      </c>
      <c r="M95" s="93">
        <f>IF(M$93-1&lt;=1/$D$87,$D80*$D$87,0)</f>
        <v>0.3605304726208496</v>
      </c>
    </row>
    <row r="96" spans="2:13" ht="15.75">
      <c r="B96" s="120">
        <f aca="true" t="shared" si="29" ref="B96:B111">+B95+1</f>
        <v>3</v>
      </c>
      <c r="C96" s="93"/>
      <c r="D96" s="93"/>
      <c r="E96" s="93"/>
      <c r="F96" s="93">
        <f aca="true" t="shared" si="30" ref="F96:L96">IF(F$93-2&lt;=1/$D$87,$E80*$D$87,0)</f>
        <v>0.381094716374482</v>
      </c>
      <c r="G96" s="93">
        <f t="shared" si="30"/>
        <v>0.381094716374482</v>
      </c>
      <c r="H96" s="93">
        <f t="shared" si="30"/>
        <v>0.381094716374482</v>
      </c>
      <c r="I96" s="93">
        <f t="shared" si="30"/>
        <v>0.381094716374482</v>
      </c>
      <c r="J96" s="93">
        <f t="shared" si="30"/>
        <v>0.381094716374482</v>
      </c>
      <c r="K96" s="93">
        <f t="shared" si="30"/>
        <v>0.381094716374482</v>
      </c>
      <c r="L96" s="93">
        <f t="shared" si="30"/>
        <v>0.381094716374482</v>
      </c>
      <c r="M96" s="93">
        <f>IF(M$93-2&lt;=1/$D$87,$E80*$D$87,0)</f>
        <v>0.381094716374482</v>
      </c>
    </row>
    <row r="97" spans="2:13" ht="15.75">
      <c r="B97" s="120">
        <f t="shared" si="29"/>
        <v>4</v>
      </c>
      <c r="C97" s="93"/>
      <c r="D97" s="93"/>
      <c r="E97" s="93"/>
      <c r="F97" s="93"/>
      <c r="G97" s="93">
        <f aca="true" t="shared" si="31" ref="G97:L97">IF(G$93-3&lt;=1/$D$87,$F80*$D$87,0)</f>
        <v>0.40283438466545624</v>
      </c>
      <c r="H97" s="93">
        <f t="shared" si="31"/>
        <v>0.40283438466545624</v>
      </c>
      <c r="I97" s="93">
        <f t="shared" si="31"/>
        <v>0.40283438466545624</v>
      </c>
      <c r="J97" s="93">
        <f t="shared" si="31"/>
        <v>0.40283438466545624</v>
      </c>
      <c r="K97" s="93">
        <f t="shared" si="31"/>
        <v>0.40283438466545624</v>
      </c>
      <c r="L97" s="93">
        <f t="shared" si="31"/>
        <v>0.40283438466545624</v>
      </c>
      <c r="M97" s="93">
        <f>IF(M$93-3&lt;=1/$D$87,$F80*$D$87,0)</f>
        <v>0.40283438466545624</v>
      </c>
    </row>
    <row r="98" spans="2:13" ht="15.75">
      <c r="B98" s="120">
        <f t="shared" si="29"/>
        <v>5</v>
      </c>
      <c r="C98" s="93"/>
      <c r="D98" s="93"/>
      <c r="E98" s="93"/>
      <c r="F98" s="93"/>
      <c r="G98" s="93"/>
      <c r="H98" s="93">
        <f aca="true" t="shared" si="32" ref="H98:M98">IF(H$93-4&lt;=1/$D$87,$G80*$D$87,0)</f>
        <v>0.42581677935756473</v>
      </c>
      <c r="I98" s="93">
        <f t="shared" si="32"/>
        <v>0.42581677935756473</v>
      </c>
      <c r="J98" s="93">
        <f t="shared" si="32"/>
        <v>0.42581677935756473</v>
      </c>
      <c r="K98" s="93">
        <f t="shared" si="32"/>
        <v>0.42581677935756473</v>
      </c>
      <c r="L98" s="93">
        <f t="shared" si="32"/>
        <v>0.42581677935756473</v>
      </c>
      <c r="M98" s="93">
        <f t="shared" si="32"/>
        <v>0.42581677935756473</v>
      </c>
    </row>
    <row r="99" spans="2:13" ht="15.75">
      <c r="B99" s="120">
        <f t="shared" si="29"/>
        <v>6</v>
      </c>
      <c r="C99" s="93"/>
      <c r="D99" s="93"/>
      <c r="E99" s="93"/>
      <c r="F99" s="93"/>
      <c r="G99" s="93"/>
      <c r="H99" s="93"/>
      <c r="I99" s="93">
        <f>IF(I$93-5&lt;=1/$D$87,$H80*$D$87,0)</f>
        <v>0.45011305771459587</v>
      </c>
      <c r="J99" s="93">
        <f>IF(J$93-5&lt;=1/$D$87,$H80*$D$87,0)</f>
        <v>0.45011305771459587</v>
      </c>
      <c r="K99" s="93">
        <f>IF(K$93-5&lt;=1/$D$87,$H80*$D$87,0)</f>
        <v>0.45011305771459587</v>
      </c>
      <c r="L99" s="93">
        <f>IF(L$93-5&lt;=1/$D$87,$H80*$D$87,0)</f>
        <v>0.45011305771459587</v>
      </c>
      <c r="M99" s="93">
        <f>IF(M$93-5&lt;=1/$D$87,$H80*$D$87,0)</f>
        <v>0.45011305771459587</v>
      </c>
    </row>
    <row r="100" spans="2:13" ht="15.75">
      <c r="B100" s="120">
        <f t="shared" si="29"/>
        <v>7</v>
      </c>
      <c r="C100" s="93"/>
      <c r="D100" s="93"/>
      <c r="E100" s="93"/>
      <c r="F100" s="93"/>
      <c r="G100" s="93"/>
      <c r="H100" s="93"/>
      <c r="I100" s="93"/>
      <c r="J100" s="93">
        <f>IF(J$93-6&lt;=1/$D$87,$I80*$D$87,0)</f>
        <v>0.47579846875885806</v>
      </c>
      <c r="K100" s="93">
        <f>IF(K$93-6&lt;=1/$D$87,$I80*$D$87,0)</f>
        <v>0.47579846875885806</v>
      </c>
      <c r="L100" s="93">
        <f>IF(L$93-6&lt;=1/$D$87,$I80*$D$87,0)</f>
        <v>0.47579846875885806</v>
      </c>
      <c r="M100" s="93">
        <f>IF(M$93-6&lt;=1/$D$87,$I80*$D$87,0)</f>
        <v>0.47579846875885806</v>
      </c>
    </row>
    <row r="101" spans="2:13" ht="15.75">
      <c r="B101" s="120">
        <f t="shared" si="29"/>
        <v>8</v>
      </c>
      <c r="C101" s="93"/>
      <c r="D101" s="93"/>
      <c r="E101" s="93"/>
      <c r="F101" s="93"/>
      <c r="G101" s="93"/>
      <c r="H101" s="93"/>
      <c r="I101" s="93"/>
      <c r="J101" s="93"/>
      <c r="K101" s="93">
        <f>IF(K$93-7&lt;=1/$D$87,$J80*$D$87,0)</f>
        <v>0.5029525660242994</v>
      </c>
      <c r="L101" s="93">
        <f>IF(L$93-7&lt;=1/$D$87,$J80*$D$87,0)</f>
        <v>0.5029525660242994</v>
      </c>
      <c r="M101" s="93">
        <f>IF(M$93-7&lt;=1/$D$87,$J80*$D$87,0)</f>
        <v>0.5029525660242994</v>
      </c>
    </row>
    <row r="102" spans="2:13" ht="15.75">
      <c r="B102" s="120">
        <f t="shared" si="29"/>
        <v>9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>
        <f>IF(L$93-8&lt;=1/$D$87,$K80*$D$87,0)</f>
        <v>0.5316594693300981</v>
      </c>
      <c r="M102" s="93">
        <f>IF(M$93-8&lt;=1/$D$87,$K80*$D$87,0)</f>
        <v>0.5316594693300981</v>
      </c>
    </row>
    <row r="103" spans="2:13" ht="15.75">
      <c r="B103" s="120">
        <f t="shared" si="29"/>
        <v>10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>
        <f>IF(M$93-9&lt;=1/$D$87,$K81*$D$87,0)</f>
        <v>0</v>
      </c>
    </row>
    <row r="104" spans="2:13" ht="15.75">
      <c r="B104" s="120">
        <f t="shared" si="29"/>
        <v>11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 ht="15.75">
      <c r="B105" s="120">
        <f t="shared" si="29"/>
        <v>12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 ht="15.75">
      <c r="B106" s="120">
        <f t="shared" si="29"/>
        <v>13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 ht="15.75">
      <c r="B107" s="120">
        <f t="shared" si="29"/>
        <v>14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 ht="15.75">
      <c r="B108" s="120">
        <f t="shared" si="29"/>
        <v>15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 ht="15.75">
      <c r="B109" s="120">
        <f t="shared" si="29"/>
        <v>16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 ht="15.75">
      <c r="B110" s="120">
        <f t="shared" si="29"/>
        <v>17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 ht="15.75">
      <c r="B111" s="120">
        <f t="shared" si="29"/>
        <v>18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 ht="15.75">
      <c r="B112" s="120">
        <f>+B111+1</f>
        <v>19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 ht="15.75">
      <c r="B113" s="120">
        <f>+B112+1</f>
        <v>20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 ht="15.75">
      <c r="B114" s="121" t="s">
        <v>7</v>
      </c>
      <c r="C114" s="122">
        <f>SUM(C94:C113)</f>
        <v>0</v>
      </c>
      <c r="D114" s="122">
        <f aca="true" t="shared" si="33" ref="D114:L114">SUM(D94:D113)</f>
        <v>-0.020030314232297144</v>
      </c>
      <c r="E114" s="122">
        <f t="shared" si="33"/>
        <v>0.34050015838855247</v>
      </c>
      <c r="F114" s="122">
        <f t="shared" si="33"/>
        <v>0.7215948747630345</v>
      </c>
      <c r="G114" s="122">
        <f t="shared" si="33"/>
        <v>1.1244292594284908</v>
      </c>
      <c r="H114" s="122">
        <f t="shared" si="33"/>
        <v>1.5502460387860555</v>
      </c>
      <c r="I114" s="122">
        <f t="shared" si="33"/>
        <v>2.0003590965006515</v>
      </c>
      <c r="J114" s="122">
        <f t="shared" si="33"/>
        <v>2.4761575652595096</v>
      </c>
      <c r="K114" s="122">
        <f t="shared" si="33"/>
        <v>2.979110131283809</v>
      </c>
      <c r="L114" s="122">
        <f t="shared" si="33"/>
        <v>3.5107696006139073</v>
      </c>
      <c r="M114" s="122">
        <f>SUM(M94:M113)</f>
        <v>3.5107696006139073</v>
      </c>
    </row>
    <row r="115" spans="2:12" ht="22.5" customHeight="1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3" ht="15.75">
      <c r="B116" s="70" t="s">
        <v>17</v>
      </c>
      <c r="C116" s="97"/>
      <c r="D116" s="97">
        <f>+D92</f>
        <v>2010</v>
      </c>
      <c r="E116" s="97">
        <f aca="true" t="shared" si="34" ref="E116:M116">+E92</f>
        <v>2011</v>
      </c>
      <c r="F116" s="97">
        <f t="shared" si="34"/>
        <v>2012</v>
      </c>
      <c r="G116" s="97">
        <f t="shared" si="34"/>
        <v>2013</v>
      </c>
      <c r="H116" s="97">
        <f t="shared" si="34"/>
        <v>2014</v>
      </c>
      <c r="I116" s="97">
        <f t="shared" si="34"/>
        <v>2015</v>
      </c>
      <c r="J116" s="97">
        <f t="shared" si="34"/>
        <v>2016</v>
      </c>
      <c r="K116" s="97">
        <f t="shared" si="34"/>
        <v>2017</v>
      </c>
      <c r="L116" s="97">
        <f t="shared" si="34"/>
        <v>2018</v>
      </c>
      <c r="M116" s="97">
        <f t="shared" si="34"/>
        <v>2019</v>
      </c>
    </row>
    <row r="117" spans="2:13" ht="15.75">
      <c r="B117" s="126" t="s">
        <v>6</v>
      </c>
      <c r="C117" s="127">
        <v>0</v>
      </c>
      <c r="D117" s="126">
        <v>1</v>
      </c>
      <c r="E117" s="126">
        <f aca="true" t="shared" si="35" ref="E117:M117">+D117+1</f>
        <v>2</v>
      </c>
      <c r="F117" s="126">
        <f t="shared" si="35"/>
        <v>3</v>
      </c>
      <c r="G117" s="126">
        <f t="shared" si="35"/>
        <v>4</v>
      </c>
      <c r="H117" s="126">
        <f t="shared" si="35"/>
        <v>5</v>
      </c>
      <c r="I117" s="126">
        <f t="shared" si="35"/>
        <v>6</v>
      </c>
      <c r="J117" s="126">
        <f t="shared" si="35"/>
        <v>7</v>
      </c>
      <c r="K117" s="126">
        <f t="shared" si="35"/>
        <v>8</v>
      </c>
      <c r="L117" s="126">
        <f t="shared" si="35"/>
        <v>9</v>
      </c>
      <c r="M117" s="126">
        <f t="shared" si="35"/>
        <v>10</v>
      </c>
    </row>
    <row r="118" spans="2:13" ht="15.75">
      <c r="B118" s="120">
        <v>1</v>
      </c>
      <c r="C118" s="93"/>
      <c r="D118" s="93">
        <f aca="true" t="shared" si="36" ref="D118:L118">IF(D$117&lt;=1/$D$88,$C81*$D$88,0)</f>
        <v>0</v>
      </c>
      <c r="E118" s="93">
        <f t="shared" si="36"/>
        <v>0</v>
      </c>
      <c r="F118" s="93">
        <f t="shared" si="36"/>
        <v>0</v>
      </c>
      <c r="G118" s="93">
        <f t="shared" si="36"/>
        <v>0</v>
      </c>
      <c r="H118" s="93">
        <f t="shared" si="36"/>
        <v>0</v>
      </c>
      <c r="I118" s="93">
        <f t="shared" si="36"/>
        <v>0</v>
      </c>
      <c r="J118" s="93">
        <f t="shared" si="36"/>
        <v>0</v>
      </c>
      <c r="K118" s="93">
        <f t="shared" si="36"/>
        <v>0</v>
      </c>
      <c r="L118" s="93">
        <f t="shared" si="36"/>
        <v>0</v>
      </c>
      <c r="M118" s="93">
        <f>IF(M$117&lt;=1/$D$88,$C81*$D$88,0)</f>
        <v>0</v>
      </c>
    </row>
    <row r="119" spans="2:13" ht="15.75">
      <c r="B119" s="120">
        <f>B118+1</f>
        <v>2</v>
      </c>
      <c r="C119" s="93"/>
      <c r="D119" s="93"/>
      <c r="E119" s="93">
        <f aca="true" t="shared" si="37" ref="E119:L119">IF(E$117-1&lt;=1/$D$88,$D81*$D$88,0)</f>
        <v>0</v>
      </c>
      <c r="F119" s="93">
        <f t="shared" si="37"/>
        <v>0</v>
      </c>
      <c r="G119" s="93">
        <f t="shared" si="37"/>
        <v>0</v>
      </c>
      <c r="H119" s="93">
        <f t="shared" si="37"/>
        <v>0</v>
      </c>
      <c r="I119" s="93">
        <f t="shared" si="37"/>
        <v>0</v>
      </c>
      <c r="J119" s="93">
        <f t="shared" si="37"/>
        <v>0</v>
      </c>
      <c r="K119" s="93">
        <f t="shared" si="37"/>
        <v>0</v>
      </c>
      <c r="L119" s="93">
        <f t="shared" si="37"/>
        <v>0</v>
      </c>
      <c r="M119" s="93">
        <f>IF(M$117-1&lt;=1/$D$88,$D81*$D$88,0)</f>
        <v>0</v>
      </c>
    </row>
    <row r="120" spans="2:13" ht="15.75">
      <c r="B120" s="120">
        <f aca="true" t="shared" si="38" ref="B120:B128">B119+1</f>
        <v>3</v>
      </c>
      <c r="C120" s="93"/>
      <c r="D120" s="93"/>
      <c r="E120" s="93"/>
      <c r="F120" s="93">
        <f aca="true" t="shared" si="39" ref="F120:L120">IF(F$117-2&lt;=1/$D$88,$E81*$D$88,0)</f>
        <v>0</v>
      </c>
      <c r="G120" s="93">
        <f t="shared" si="39"/>
        <v>0</v>
      </c>
      <c r="H120" s="93">
        <f t="shared" si="39"/>
        <v>0</v>
      </c>
      <c r="I120" s="93">
        <f t="shared" si="39"/>
        <v>0</v>
      </c>
      <c r="J120" s="93">
        <f t="shared" si="39"/>
        <v>0</v>
      </c>
      <c r="K120" s="93">
        <f t="shared" si="39"/>
        <v>0</v>
      </c>
      <c r="L120" s="93">
        <f t="shared" si="39"/>
        <v>0</v>
      </c>
      <c r="M120" s="93">
        <f>IF(M$117-2&lt;=1/$D$88,$E81*$D$88,0)</f>
        <v>0</v>
      </c>
    </row>
    <row r="121" spans="2:13" ht="15.75">
      <c r="B121" s="120">
        <f t="shared" si="38"/>
        <v>4</v>
      </c>
      <c r="C121" s="93"/>
      <c r="D121" s="93"/>
      <c r="E121" s="93"/>
      <c r="F121" s="93"/>
      <c r="G121" s="93">
        <f aca="true" t="shared" si="40" ref="G121:L121">IF(G$117-3&lt;=1/$D$88,$F81*$D$88,0)</f>
        <v>0</v>
      </c>
      <c r="H121" s="93">
        <f t="shared" si="40"/>
        <v>0</v>
      </c>
      <c r="I121" s="93">
        <f t="shared" si="40"/>
        <v>0</v>
      </c>
      <c r="J121" s="93">
        <f t="shared" si="40"/>
        <v>0</v>
      </c>
      <c r="K121" s="93">
        <f t="shared" si="40"/>
        <v>0</v>
      </c>
      <c r="L121" s="93">
        <f t="shared" si="40"/>
        <v>0</v>
      </c>
      <c r="M121" s="93">
        <f>IF(M$117-3&lt;=1/$D$88,$F81*$D$88,0)</f>
        <v>0</v>
      </c>
    </row>
    <row r="122" spans="2:13" ht="15.75">
      <c r="B122" s="120">
        <f t="shared" si="38"/>
        <v>5</v>
      </c>
      <c r="C122" s="93"/>
      <c r="D122" s="93"/>
      <c r="E122" s="93"/>
      <c r="F122" s="93"/>
      <c r="G122" s="93"/>
      <c r="H122" s="93">
        <f aca="true" t="shared" si="41" ref="H122:M122">IF(H$117-4&lt;=1/$D$88,$G81*$D$88,0)</f>
        <v>346.32</v>
      </c>
      <c r="I122" s="93">
        <f t="shared" si="41"/>
        <v>346.32</v>
      </c>
      <c r="J122" s="93">
        <f t="shared" si="41"/>
        <v>346.32</v>
      </c>
      <c r="K122" s="93">
        <f t="shared" si="41"/>
        <v>346.32</v>
      </c>
      <c r="L122" s="93">
        <f t="shared" si="41"/>
        <v>346.32</v>
      </c>
      <c r="M122" s="93">
        <f t="shared" si="41"/>
        <v>0</v>
      </c>
    </row>
    <row r="123" spans="2:13" ht="15.75">
      <c r="B123" s="120">
        <f t="shared" si="38"/>
        <v>6</v>
      </c>
      <c r="C123" s="93"/>
      <c r="D123" s="93"/>
      <c r="E123" s="93"/>
      <c r="F123" s="93"/>
      <c r="G123" s="93"/>
      <c r="H123" s="93"/>
      <c r="I123" s="93">
        <f>IF(I$117-5&lt;=1/$D$88,$H81*$D$88,0)</f>
        <v>0</v>
      </c>
      <c r="J123" s="93">
        <f>IF(J$117-5&lt;=1/$D$88,$H81*$D$88,0)</f>
        <v>0</v>
      </c>
      <c r="K123" s="93">
        <f>IF(K$117-5&lt;=1/$D$88,$H81*$D$88,0)</f>
        <v>0</v>
      </c>
      <c r="L123" s="93">
        <f>IF(L$117-5&lt;=1/$D$88,$H81*$D$88,0)</f>
        <v>0</v>
      </c>
      <c r="M123" s="93">
        <f>IF(M$117-5&lt;=1/$D$88,$H81*$D$88,0)</f>
        <v>0</v>
      </c>
    </row>
    <row r="124" spans="2:13" ht="15.75">
      <c r="B124" s="120">
        <f t="shared" si="38"/>
        <v>7</v>
      </c>
      <c r="C124" s="93"/>
      <c r="D124" s="93"/>
      <c r="E124" s="93"/>
      <c r="F124" s="93"/>
      <c r="G124" s="93"/>
      <c r="H124" s="93"/>
      <c r="I124" s="93"/>
      <c r="J124" s="93">
        <f>IF(J$117-6&lt;=1/$D$88,$I81*$D$88,0)</f>
        <v>0</v>
      </c>
      <c r="K124" s="93">
        <f>IF(K$117-6&lt;=1/$D$88,$I81*$D$88,0)</f>
        <v>0</v>
      </c>
      <c r="L124" s="93">
        <f>IF(L$117-6&lt;=1/$D$88,$I81*$D$88,0)</f>
        <v>0</v>
      </c>
      <c r="M124" s="93">
        <f>IF(M$117-6&lt;=1/$D$88,$I81*$D$88,0)</f>
        <v>0</v>
      </c>
    </row>
    <row r="125" spans="2:13" ht="15.75">
      <c r="B125" s="120">
        <f t="shared" si="38"/>
        <v>8</v>
      </c>
      <c r="C125" s="93"/>
      <c r="D125" s="93"/>
      <c r="E125" s="93"/>
      <c r="F125" s="93"/>
      <c r="G125" s="93"/>
      <c r="H125" s="93"/>
      <c r="I125" s="93"/>
      <c r="J125" s="93"/>
      <c r="K125" s="93">
        <f>IF(K$117-7&lt;=1/$D$88,$J81*$D$88,0)</f>
        <v>0</v>
      </c>
      <c r="L125" s="93">
        <f>IF(L$117-7&lt;=1/$D$88,$J81*$D$88,0)</f>
        <v>0</v>
      </c>
      <c r="M125" s="93">
        <f>IF(M$117-7&lt;=1/$D$88,$J81*$D$88,0)</f>
        <v>0</v>
      </c>
    </row>
    <row r="126" spans="2:13" ht="15.75">
      <c r="B126" s="120">
        <f t="shared" si="38"/>
        <v>9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>
        <f>IF(L$117-8&lt;=1/$D$88,$K81*$D$88,0)</f>
        <v>0</v>
      </c>
      <c r="M126" s="93">
        <f>IF(M$117-8&lt;=1/$D$88,$K81*$D$88,0)</f>
        <v>0</v>
      </c>
    </row>
    <row r="127" spans="2:13" ht="15.75">
      <c r="B127" s="120">
        <f t="shared" si="38"/>
        <v>10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>
        <f>IF(M$117-9&lt;=1/$D$88,$L81*$D$88,0)</f>
        <v>346.32</v>
      </c>
    </row>
    <row r="128" spans="2:13" ht="15.75">
      <c r="B128" s="120">
        <f t="shared" si="38"/>
        <v>11</v>
      </c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 ht="15.75">
      <c r="B129" s="120">
        <f aca="true" t="shared" si="42" ref="B129:B137">+B128+1</f>
        <v>12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 ht="15.75">
      <c r="B130" s="120">
        <f t="shared" si="42"/>
        <v>13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 ht="15.75">
      <c r="B131" s="120">
        <f t="shared" si="42"/>
        <v>14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 ht="15.75">
      <c r="B132" s="120">
        <f t="shared" si="42"/>
        <v>15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 ht="15.75">
      <c r="B133" s="120">
        <f t="shared" si="42"/>
        <v>16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 ht="15.75">
      <c r="B134" s="120">
        <f t="shared" si="42"/>
        <v>17</v>
      </c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 ht="15.75">
      <c r="B135" s="120">
        <f t="shared" si="42"/>
        <v>18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 ht="15.75">
      <c r="B136" s="120">
        <f t="shared" si="42"/>
        <v>19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 ht="15.75">
      <c r="B137" s="120">
        <f t="shared" si="42"/>
        <v>20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 ht="15.75">
      <c r="B138" s="126" t="s">
        <v>7</v>
      </c>
      <c r="C138" s="128">
        <f>SUM(C118:C137)</f>
        <v>0</v>
      </c>
      <c r="D138" s="128">
        <f aca="true" t="shared" si="43" ref="D138:M138">SUM(D118:D137)</f>
        <v>0</v>
      </c>
      <c r="E138" s="128">
        <f t="shared" si="43"/>
        <v>0</v>
      </c>
      <c r="F138" s="128">
        <f t="shared" si="43"/>
        <v>0</v>
      </c>
      <c r="G138" s="128">
        <f t="shared" si="43"/>
        <v>0</v>
      </c>
      <c r="H138" s="128">
        <f t="shared" si="43"/>
        <v>346.32</v>
      </c>
      <c r="I138" s="128">
        <f t="shared" si="43"/>
        <v>346.32</v>
      </c>
      <c r="J138" s="128">
        <f t="shared" si="43"/>
        <v>346.32</v>
      </c>
      <c r="K138" s="128">
        <f t="shared" si="43"/>
        <v>346.32</v>
      </c>
      <c r="L138" s="128">
        <f t="shared" si="43"/>
        <v>346.32</v>
      </c>
      <c r="M138" s="128">
        <f t="shared" si="43"/>
        <v>346.32</v>
      </c>
    </row>
    <row r="139" spans="2:12" ht="23.25" customHeight="1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3" ht="15.75" hidden="1">
      <c r="B140" s="70" t="s">
        <v>18</v>
      </c>
      <c r="C140" s="97"/>
      <c r="D140" s="97">
        <f>+D116</f>
        <v>2010</v>
      </c>
      <c r="E140" s="97">
        <f aca="true" t="shared" si="44" ref="E140:M140">+E116</f>
        <v>2011</v>
      </c>
      <c r="F140" s="97">
        <f t="shared" si="44"/>
        <v>2012</v>
      </c>
      <c r="G140" s="97">
        <f t="shared" si="44"/>
        <v>2013</v>
      </c>
      <c r="H140" s="97">
        <f t="shared" si="44"/>
        <v>2014</v>
      </c>
      <c r="I140" s="97">
        <f t="shared" si="44"/>
        <v>2015</v>
      </c>
      <c r="J140" s="97">
        <f t="shared" si="44"/>
        <v>2016</v>
      </c>
      <c r="K140" s="97">
        <f t="shared" si="44"/>
        <v>2017</v>
      </c>
      <c r="L140" s="97">
        <f t="shared" si="44"/>
        <v>2018</v>
      </c>
      <c r="M140" s="97">
        <f t="shared" si="44"/>
        <v>2019</v>
      </c>
    </row>
    <row r="141" spans="2:13" ht="15.75" hidden="1">
      <c r="B141" s="110" t="s">
        <v>6</v>
      </c>
      <c r="C141" s="109">
        <v>0</v>
      </c>
      <c r="D141" s="110">
        <v>1</v>
      </c>
      <c r="E141" s="110">
        <f aca="true" t="shared" si="45" ref="E141:M141">+D141+1</f>
        <v>2</v>
      </c>
      <c r="F141" s="110">
        <f t="shared" si="45"/>
        <v>3</v>
      </c>
      <c r="G141" s="110">
        <f t="shared" si="45"/>
        <v>4</v>
      </c>
      <c r="H141" s="110">
        <f t="shared" si="45"/>
        <v>5</v>
      </c>
      <c r="I141" s="110">
        <f t="shared" si="45"/>
        <v>6</v>
      </c>
      <c r="J141" s="110">
        <f t="shared" si="45"/>
        <v>7</v>
      </c>
      <c r="K141" s="110">
        <f t="shared" si="45"/>
        <v>8</v>
      </c>
      <c r="L141" s="110">
        <f t="shared" si="45"/>
        <v>9</v>
      </c>
      <c r="M141" s="110">
        <f t="shared" si="45"/>
        <v>10</v>
      </c>
    </row>
    <row r="142" spans="2:13" ht="15.75" hidden="1">
      <c r="B142" s="120">
        <v>1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 ht="15.75" hidden="1">
      <c r="B143" s="120">
        <f>+B142+1</f>
        <v>2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 ht="15.75" hidden="1">
      <c r="B144" s="120">
        <f aca="true" t="shared" si="46" ref="B144:B161">+B143+1</f>
        <v>3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 ht="15.75" hidden="1">
      <c r="B145" s="120">
        <f t="shared" si="46"/>
        <v>4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 ht="15.75" hidden="1">
      <c r="B146" s="120">
        <f t="shared" si="46"/>
        <v>5</v>
      </c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 ht="15.75" hidden="1">
      <c r="B147" s="120">
        <f t="shared" si="46"/>
        <v>6</v>
      </c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 ht="15.75" hidden="1">
      <c r="B148" s="120">
        <f t="shared" si="46"/>
        <v>7</v>
      </c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 ht="15.75" hidden="1">
      <c r="B149" s="120">
        <f t="shared" si="46"/>
        <v>8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 ht="15.75" hidden="1">
      <c r="B150" s="120">
        <f t="shared" si="46"/>
        <v>9</v>
      </c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 ht="15.75" hidden="1">
      <c r="B151" s="120">
        <f t="shared" si="46"/>
        <v>10</v>
      </c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 ht="15.75" hidden="1">
      <c r="B152" s="120">
        <f t="shared" si="46"/>
        <v>11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 ht="15.75" hidden="1">
      <c r="B153" s="120">
        <f t="shared" si="46"/>
        <v>12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 ht="15.75" hidden="1">
      <c r="B154" s="120">
        <f t="shared" si="46"/>
        <v>13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 ht="15.75" hidden="1">
      <c r="B155" s="120">
        <f t="shared" si="46"/>
        <v>14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 ht="15.75" hidden="1">
      <c r="B156" s="120">
        <f t="shared" si="46"/>
        <v>15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 ht="15.75" hidden="1">
      <c r="B157" s="120">
        <f t="shared" si="46"/>
        <v>16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 ht="15.75" hidden="1">
      <c r="B158" s="120">
        <f t="shared" si="46"/>
        <v>17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 ht="15.75" hidden="1">
      <c r="B159" s="120">
        <f t="shared" si="46"/>
        <v>18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 ht="15.75" hidden="1">
      <c r="B160" s="120">
        <f t="shared" si="46"/>
        <v>19</v>
      </c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 ht="15.75" hidden="1">
      <c r="B161" s="120">
        <f t="shared" si="46"/>
        <v>20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 ht="15.75" hidden="1">
      <c r="B162" s="126" t="s">
        <v>7</v>
      </c>
      <c r="C162" s="128">
        <f aca="true" t="shared" si="47" ref="C162:L162">SUM(C142:C161)</f>
        <v>0</v>
      </c>
      <c r="D162" s="128">
        <f t="shared" si="47"/>
        <v>0</v>
      </c>
      <c r="E162" s="128">
        <f t="shared" si="47"/>
        <v>0</v>
      </c>
      <c r="F162" s="128">
        <f t="shared" si="47"/>
        <v>0</v>
      </c>
      <c r="G162" s="128">
        <f t="shared" si="47"/>
        <v>0</v>
      </c>
      <c r="H162" s="128">
        <f t="shared" si="47"/>
        <v>0</v>
      </c>
      <c r="I162" s="128">
        <f t="shared" si="47"/>
        <v>0</v>
      </c>
      <c r="J162" s="128">
        <f t="shared" si="47"/>
        <v>0</v>
      </c>
      <c r="K162" s="128">
        <f t="shared" si="47"/>
        <v>0</v>
      </c>
      <c r="L162" s="128">
        <f t="shared" si="47"/>
        <v>0</v>
      </c>
      <c r="M162" s="128">
        <f>SUM(M142:M161)</f>
        <v>0</v>
      </c>
    </row>
    <row r="163" spans="2:12" ht="15.75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C114 C138 C162" formulaRange="1"/>
    <ignoredError sqref="D9:L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L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84" customWidth="1"/>
    <col min="2" max="2" width="44.00390625" style="84" customWidth="1"/>
    <col min="3" max="3" width="12.7109375" style="84" customWidth="1"/>
    <col min="4" max="4" width="14.421875" style="84" customWidth="1"/>
    <col min="5" max="8" width="12.28125" style="84" bestFit="1" customWidth="1"/>
    <col min="9" max="11" width="13.421875" style="84" bestFit="1" customWidth="1"/>
    <col min="12" max="12" width="12.421875" style="84" customWidth="1"/>
    <col min="13" max="16384" width="11.421875" style="84" customWidth="1"/>
  </cols>
  <sheetData>
    <row r="1" ht="4.5" customHeight="1">
      <c r="B1" s="83"/>
    </row>
    <row r="2" ht="12.75" customHeight="1">
      <c r="B2" s="83" t="str">
        <f>+Balance!B2</f>
        <v>COMISION DE REGULACION DE COMUNICACIONES</v>
      </c>
    </row>
    <row r="3" ht="12.75" customHeight="1">
      <c r="B3" s="83" t="str">
        <f>+Balance!B3</f>
        <v>OPERADOR POSTAL</v>
      </c>
    </row>
    <row r="4" ht="12.75" customHeight="1">
      <c r="B4" s="85" t="s">
        <v>182</v>
      </c>
    </row>
    <row r="5" ht="4.5" customHeight="1">
      <c r="B5" s="83"/>
    </row>
    <row r="6" spans="2:38" ht="15.75">
      <c r="B6" s="70" t="s">
        <v>1</v>
      </c>
      <c r="C6" s="70">
        <f>+Balance!C7</f>
        <v>2009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2:38" ht="15.75">
      <c r="B7" s="136" t="s">
        <v>85</v>
      </c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2:38" ht="15.75">
      <c r="B8" s="129" t="s">
        <v>88</v>
      </c>
      <c r="C8" s="93">
        <f>+Balance!C24</f>
        <v>182.4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2:38" ht="15.75">
      <c r="B9" s="129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</row>
    <row r="10" spans="2:38" ht="15.75">
      <c r="B10" s="129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2:38" ht="15.75">
      <c r="B11" s="129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</row>
    <row r="12" spans="3:38" ht="8.25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2:38" ht="15" customHeight="1">
      <c r="B13" s="70" t="s">
        <v>86</v>
      </c>
      <c r="C13" s="70">
        <f>+Balance!C7</f>
        <v>2009</v>
      </c>
      <c r="D13" s="70">
        <f>+Balance!D7</f>
        <v>2010</v>
      </c>
      <c r="E13" s="70">
        <f>+Balance!E7</f>
        <v>2011</v>
      </c>
      <c r="F13" s="70">
        <f>+Balance!F7</f>
        <v>2012</v>
      </c>
      <c r="G13" s="70">
        <f>+Balance!G7</f>
        <v>2013</v>
      </c>
      <c r="H13" s="70">
        <f>+Balance!H7</f>
        <v>2014</v>
      </c>
      <c r="I13" s="70">
        <f>+Balance!I7</f>
        <v>2015</v>
      </c>
      <c r="J13" s="70">
        <f>+Balance!J7</f>
        <v>2016</v>
      </c>
      <c r="K13" s="70">
        <f>+Balance!K7</f>
        <v>2017</v>
      </c>
      <c r="L13" s="70">
        <f>+Balance!L7</f>
        <v>2018</v>
      </c>
      <c r="M13" s="70">
        <f>+Balance!M7</f>
        <v>2019</v>
      </c>
      <c r="N13" s="90"/>
      <c r="O13" s="90"/>
      <c r="P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</row>
    <row r="14" spans="2:38" ht="15" customHeight="1">
      <c r="B14" s="100" t="s">
        <v>89</v>
      </c>
      <c r="C14" s="98">
        <f>+Balance!C25</f>
        <v>0</v>
      </c>
      <c r="D14" s="98">
        <f aca="true" t="shared" si="0" ref="D14:M14">+C14+C26</f>
        <v>36.480000000000004</v>
      </c>
      <c r="E14" s="98">
        <f t="shared" si="0"/>
        <v>72.96000000000001</v>
      </c>
      <c r="F14" s="98">
        <f t="shared" si="0"/>
        <v>109.44000000000001</v>
      </c>
      <c r="G14" s="98">
        <f t="shared" si="0"/>
        <v>145.92000000000002</v>
      </c>
      <c r="H14" s="98">
        <f t="shared" si="0"/>
        <v>182.4</v>
      </c>
      <c r="I14" s="98">
        <f t="shared" si="0"/>
        <v>182.4</v>
      </c>
      <c r="J14" s="98">
        <f t="shared" si="0"/>
        <v>182.4</v>
      </c>
      <c r="K14" s="98">
        <f t="shared" si="0"/>
        <v>182.4</v>
      </c>
      <c r="L14" s="98">
        <f t="shared" si="0"/>
        <v>182.4</v>
      </c>
      <c r="M14" s="98">
        <f t="shared" si="0"/>
        <v>182.4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2:38" ht="15" customHeight="1">
      <c r="B15" s="100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2:38" ht="15" customHeight="1">
      <c r="B16" s="100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:38" ht="15" customHeight="1">
      <c r="B17" s="100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3:38" ht="12.75" customHeight="1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2:13" ht="15.75">
      <c r="B19" s="70" t="s">
        <v>183</v>
      </c>
      <c r="C19" s="70" t="s">
        <v>15</v>
      </c>
      <c r="D19" s="70" t="s">
        <v>5</v>
      </c>
      <c r="E19" s="96"/>
      <c r="F19" s="96"/>
      <c r="G19" s="96"/>
      <c r="H19" s="96"/>
      <c r="I19" s="96"/>
      <c r="J19" s="96"/>
      <c r="K19" s="96"/>
      <c r="L19" s="96"/>
      <c r="M19" s="96"/>
    </row>
    <row r="20" spans="2:13" ht="15.75">
      <c r="B20" s="100" t="str">
        <f>+B8</f>
        <v>1.1. Valor sin amortización</v>
      </c>
      <c r="C20" s="99">
        <f>+'[1]Financieros'!$C$37</f>
        <v>5</v>
      </c>
      <c r="D20" s="101">
        <f>1/'[1]Financieros'!$C$38</f>
        <v>0.2</v>
      </c>
      <c r="E20" s="96"/>
      <c r="F20" s="96"/>
      <c r="G20" s="96"/>
      <c r="H20" s="96"/>
      <c r="I20" s="96"/>
      <c r="J20" s="96"/>
      <c r="K20" s="96"/>
      <c r="L20" s="96"/>
      <c r="M20" s="96"/>
    </row>
    <row r="21" spans="2:13" ht="15.75">
      <c r="B21" s="100"/>
      <c r="C21" s="108"/>
      <c r="D21" s="101"/>
      <c r="E21" s="96"/>
      <c r="F21" s="96"/>
      <c r="G21" s="96"/>
      <c r="H21" s="96"/>
      <c r="I21" s="96"/>
      <c r="J21" s="96"/>
      <c r="K21" s="96"/>
      <c r="L21" s="96"/>
      <c r="M21" s="96"/>
    </row>
    <row r="22" spans="2:13" ht="15.75">
      <c r="B22" s="100"/>
      <c r="C22" s="108"/>
      <c r="D22" s="101"/>
      <c r="E22" s="96"/>
      <c r="F22" s="96"/>
      <c r="G22" s="96"/>
      <c r="H22" s="96"/>
      <c r="I22" s="96"/>
      <c r="J22" s="96"/>
      <c r="K22" s="96"/>
      <c r="L22" s="96"/>
      <c r="M22" s="96"/>
    </row>
    <row r="23" spans="2:13" ht="13.5" customHeight="1">
      <c r="B23" s="100"/>
      <c r="C23" s="102"/>
      <c r="D23" s="101"/>
      <c r="E23" s="96"/>
      <c r="F23" s="96"/>
      <c r="G23" s="96"/>
      <c r="H23" s="96"/>
      <c r="I23" s="96"/>
      <c r="J23" s="96"/>
      <c r="K23" s="96"/>
      <c r="L23" s="96"/>
      <c r="M23" s="96"/>
    </row>
    <row r="24" spans="3:13" ht="15.7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 ht="15.75">
      <c r="B25" s="70" t="s">
        <v>87</v>
      </c>
      <c r="C25" s="70">
        <f>+D13</f>
        <v>2010</v>
      </c>
      <c r="D25" s="70">
        <f aca="true" t="shared" si="1" ref="D25:M25">+C25+1</f>
        <v>2011</v>
      </c>
      <c r="E25" s="70">
        <f t="shared" si="1"/>
        <v>2012</v>
      </c>
      <c r="F25" s="70">
        <f t="shared" si="1"/>
        <v>2013</v>
      </c>
      <c r="G25" s="70">
        <f t="shared" si="1"/>
        <v>2014</v>
      </c>
      <c r="H25" s="70">
        <f t="shared" si="1"/>
        <v>2015</v>
      </c>
      <c r="I25" s="70">
        <f t="shared" si="1"/>
        <v>2016</v>
      </c>
      <c r="J25" s="70">
        <f t="shared" si="1"/>
        <v>2017</v>
      </c>
      <c r="K25" s="70">
        <f t="shared" si="1"/>
        <v>2018</v>
      </c>
      <c r="L25" s="70">
        <f t="shared" si="1"/>
        <v>2019</v>
      </c>
      <c r="M25" s="70">
        <f t="shared" si="1"/>
        <v>2020</v>
      </c>
    </row>
    <row r="26" spans="2:13" ht="15.75">
      <c r="B26" s="103" t="str">
        <f>+B20</f>
        <v>1.1. Valor sin amortización</v>
      </c>
      <c r="C26" s="93">
        <f aca="true" t="shared" si="2" ref="C26:M26">IF($C$8-C14&gt;$C$8*$D$20,$C$8*$D$20,$C$8-C14)</f>
        <v>36.480000000000004</v>
      </c>
      <c r="D26" s="93">
        <f t="shared" si="2"/>
        <v>36.480000000000004</v>
      </c>
      <c r="E26" s="93">
        <f t="shared" si="2"/>
        <v>36.480000000000004</v>
      </c>
      <c r="F26" s="93">
        <f t="shared" si="2"/>
        <v>36.480000000000004</v>
      </c>
      <c r="G26" s="93">
        <f t="shared" si="2"/>
        <v>36.47999999999999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>
        <f t="shared" si="2"/>
        <v>0</v>
      </c>
      <c r="M26" s="93">
        <f t="shared" si="2"/>
        <v>0</v>
      </c>
    </row>
    <row r="27" spans="2:13" ht="12" customHeight="1">
      <c r="B27" s="10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13" ht="15.75">
      <c r="B28" s="10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2:13" ht="15.75">
      <c r="B29" s="104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1" ht="15.75">
      <c r="C31" s="96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AFIANZA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MAYORGA</dc:creator>
  <cp:keywords/>
  <dc:description/>
  <cp:lastModifiedBy>isabel.fajardo</cp:lastModifiedBy>
  <dcterms:created xsi:type="dcterms:W3CDTF">2001-10-10T15:52:01Z</dcterms:created>
  <dcterms:modified xsi:type="dcterms:W3CDTF">2010-10-23T02:35:41Z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